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5 Z RAPORLARI\"/>
    </mc:Choice>
  </mc:AlternateContent>
  <bookViews>
    <workbookView xWindow="0" yWindow="0" windowWidth="23040" windowHeight="9084" firstSheet="2" activeTab="12"/>
  </bookViews>
  <sheets>
    <sheet name="OCAK" sheetId="1" r:id="rId1"/>
    <sheet name="ŞUBAT" sheetId="2" r:id="rId2"/>
    <sheet name="MART" sheetId="3" r:id="rId3"/>
    <sheet name="NİSAN" sheetId="4" r:id="rId4"/>
    <sheet name="Sayfa1" sheetId="7" r:id="rId5"/>
    <sheet name="MAYIS" sheetId="6" r:id="rId6"/>
    <sheet name="HAZİRAN" sheetId="9" r:id="rId7"/>
    <sheet name="TEMMUZ" sheetId="10" r:id="rId8"/>
    <sheet name="AĞUSTOS" sheetId="11" r:id="rId9"/>
    <sheet name="EYLÜL" sheetId="13" r:id="rId10"/>
    <sheet name="EKİM" sheetId="14" r:id="rId11"/>
    <sheet name="KASIM" sheetId="16" r:id="rId12"/>
    <sheet name="ARALIK" sheetId="17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3" i="17" l="1"/>
  <c r="J39" i="17"/>
  <c r="J38" i="17"/>
  <c r="J44" i="16"/>
  <c r="J41" i="17"/>
  <c r="F42" i="17" l="1"/>
  <c r="F39" i="17"/>
  <c r="F40" i="17" s="1"/>
  <c r="F38" i="17"/>
  <c r="F36" i="17"/>
  <c r="F35" i="17"/>
  <c r="D42" i="17"/>
  <c r="C40" i="17"/>
  <c r="B40" i="17"/>
  <c r="D40" i="17" s="1"/>
  <c r="D39" i="17"/>
  <c r="D38" i="17"/>
  <c r="G38" i="17" s="1"/>
  <c r="H37" i="17"/>
  <c r="C37" i="17"/>
  <c r="B37" i="17"/>
  <c r="I36" i="17"/>
  <c r="D36" i="17"/>
  <c r="I35" i="17"/>
  <c r="I37" i="17" s="1"/>
  <c r="D35" i="17"/>
  <c r="J37" i="17" l="1"/>
  <c r="J40" i="17" s="1"/>
  <c r="G42" i="17"/>
  <c r="G40" i="17"/>
  <c r="F37" i="17"/>
  <c r="G35" i="17"/>
  <c r="C41" i="17"/>
  <c r="G39" i="17"/>
  <c r="B41" i="17"/>
  <c r="G36" i="17"/>
  <c r="D37" i="17"/>
  <c r="G37" i="17" s="1"/>
  <c r="D41" i="17"/>
  <c r="O28" i="17"/>
  <c r="N28" i="17"/>
  <c r="E28" i="17"/>
  <c r="B28" i="17"/>
  <c r="O27" i="17"/>
  <c r="N27" i="17"/>
  <c r="K27" i="17"/>
  <c r="H27" i="17"/>
  <c r="E27" i="17"/>
  <c r="B27" i="17"/>
  <c r="R26" i="17" l="1"/>
  <c r="P26" i="17"/>
  <c r="O26" i="17"/>
  <c r="N26" i="17"/>
  <c r="K26" i="17"/>
  <c r="E26" i="17"/>
  <c r="B26" i="17"/>
  <c r="P25" i="17"/>
  <c r="O25" i="17"/>
  <c r="N25" i="17"/>
  <c r="K25" i="17"/>
  <c r="E25" i="17"/>
  <c r="B25" i="17"/>
  <c r="O24" i="17"/>
  <c r="N24" i="17"/>
  <c r="K24" i="17"/>
  <c r="H24" i="17"/>
  <c r="E24" i="17"/>
  <c r="B24" i="17"/>
  <c r="P23" i="17" l="1"/>
  <c r="O23" i="17"/>
  <c r="N23" i="17"/>
  <c r="K23" i="17"/>
  <c r="E23" i="17"/>
  <c r="B23" i="17"/>
  <c r="B22" i="17" l="1"/>
  <c r="O22" i="17"/>
  <c r="N22" i="17"/>
  <c r="K22" i="17"/>
  <c r="E22" i="17"/>
  <c r="N21" i="17"/>
  <c r="O21" i="17"/>
  <c r="K21" i="17"/>
  <c r="E21" i="17"/>
  <c r="B21" i="17"/>
  <c r="R20" i="17" l="1"/>
  <c r="P20" i="17"/>
  <c r="O20" i="17"/>
  <c r="N20" i="17"/>
  <c r="K20" i="17"/>
  <c r="E20" i="17"/>
  <c r="B20" i="17"/>
  <c r="R19" i="17"/>
  <c r="O19" i="17"/>
  <c r="N19" i="17"/>
  <c r="K19" i="17"/>
  <c r="E19" i="17"/>
  <c r="B19" i="17"/>
  <c r="O18" i="17"/>
  <c r="N18" i="17"/>
  <c r="K18" i="17"/>
  <c r="E18" i="17"/>
  <c r="B18" i="17"/>
  <c r="P17" i="17" l="1"/>
  <c r="O17" i="17"/>
  <c r="N17" i="17"/>
  <c r="K17" i="17"/>
  <c r="E17" i="17"/>
  <c r="B17" i="17"/>
  <c r="O16" i="17" l="1"/>
  <c r="N16" i="17"/>
  <c r="K16" i="17"/>
  <c r="H16" i="17"/>
  <c r="E16" i="17"/>
  <c r="B16" i="17"/>
  <c r="R15" i="17" l="1"/>
  <c r="O15" i="17"/>
  <c r="N15" i="17"/>
  <c r="K15" i="17"/>
  <c r="E15" i="17"/>
  <c r="B15" i="17"/>
  <c r="R13" i="17" l="1"/>
  <c r="P13" i="17"/>
  <c r="O13" i="17"/>
  <c r="N13" i="17"/>
  <c r="K13" i="17"/>
  <c r="H13" i="17"/>
  <c r="E13" i="17"/>
  <c r="B13" i="17"/>
  <c r="P12" i="17"/>
  <c r="O12" i="17"/>
  <c r="N12" i="17"/>
  <c r="K12" i="17"/>
  <c r="E12" i="17"/>
  <c r="B12" i="17"/>
  <c r="P14" i="17"/>
  <c r="O14" i="17"/>
  <c r="N14" i="17"/>
  <c r="K14" i="17"/>
  <c r="H14" i="17"/>
  <c r="E14" i="17"/>
  <c r="B14" i="17"/>
  <c r="O11" i="17"/>
  <c r="N11" i="17"/>
  <c r="K11" i="17"/>
  <c r="H11" i="17"/>
  <c r="E11" i="17"/>
  <c r="B11" i="17"/>
  <c r="P10" i="17" l="1"/>
  <c r="O10" i="17"/>
  <c r="N10" i="17"/>
  <c r="K10" i="17"/>
  <c r="E10" i="17"/>
  <c r="B10" i="17"/>
  <c r="O9" i="17"/>
  <c r="N9" i="17"/>
  <c r="K9" i="17"/>
  <c r="H9" i="17"/>
  <c r="E9" i="17"/>
  <c r="B9" i="17"/>
  <c r="R8" i="17" l="1"/>
  <c r="P8" i="17"/>
  <c r="O8" i="17"/>
  <c r="N8" i="17"/>
  <c r="K8" i="17"/>
  <c r="E8" i="17"/>
  <c r="B8" i="17"/>
  <c r="O7" i="17"/>
  <c r="N7" i="17"/>
  <c r="K7" i="17"/>
  <c r="E7" i="17"/>
  <c r="B7" i="17"/>
  <c r="O6" i="17"/>
  <c r="N6" i="17"/>
  <c r="K6" i="17"/>
  <c r="E6" i="17"/>
  <c r="B6" i="17"/>
  <c r="P5" i="17" l="1"/>
  <c r="O5" i="17"/>
  <c r="N5" i="17"/>
  <c r="K5" i="17"/>
  <c r="E5" i="17"/>
  <c r="B5" i="17"/>
  <c r="O4" i="17" l="1"/>
  <c r="N4" i="17"/>
  <c r="K4" i="17"/>
  <c r="L4" i="17" s="1"/>
  <c r="M4" i="17" s="1"/>
  <c r="E4" i="17"/>
  <c r="B4" i="17"/>
  <c r="C4" i="17" s="1"/>
  <c r="D4" i="17" s="1"/>
  <c r="P3" i="17"/>
  <c r="P29" i="17" s="1"/>
  <c r="O3" i="17"/>
  <c r="K3" i="17"/>
  <c r="L3" i="17" s="1"/>
  <c r="M3" i="17" s="1"/>
  <c r="E3" i="17"/>
  <c r="F3" i="17" s="1"/>
  <c r="G3" i="17" s="1"/>
  <c r="B3" i="17"/>
  <c r="C3" i="17" s="1"/>
  <c r="D3" i="17" s="1"/>
  <c r="L28" i="17"/>
  <c r="M28" i="17" s="1"/>
  <c r="I28" i="17"/>
  <c r="J28" i="17" s="1"/>
  <c r="F28" i="17"/>
  <c r="G28" i="17" s="1"/>
  <c r="C28" i="17"/>
  <c r="D28" i="17" s="1"/>
  <c r="L27" i="17"/>
  <c r="M27" i="17" s="1"/>
  <c r="I27" i="17"/>
  <c r="J27" i="17" s="1"/>
  <c r="F27" i="17"/>
  <c r="G27" i="17" s="1"/>
  <c r="C27" i="17"/>
  <c r="D27" i="17" s="1"/>
  <c r="L26" i="17"/>
  <c r="M26" i="17" s="1"/>
  <c r="I26" i="17"/>
  <c r="J26" i="17" s="1"/>
  <c r="F26" i="17"/>
  <c r="G26" i="17" s="1"/>
  <c r="C26" i="17"/>
  <c r="D26" i="17" s="1"/>
  <c r="L25" i="17"/>
  <c r="M25" i="17" s="1"/>
  <c r="I25" i="17"/>
  <c r="J25" i="17" s="1"/>
  <c r="F25" i="17"/>
  <c r="G25" i="17" s="1"/>
  <c r="C25" i="17"/>
  <c r="D25" i="17" s="1"/>
  <c r="L24" i="17"/>
  <c r="M24" i="17" s="1"/>
  <c r="I24" i="17"/>
  <c r="J24" i="17" s="1"/>
  <c r="F24" i="17"/>
  <c r="G24" i="17" s="1"/>
  <c r="C24" i="17"/>
  <c r="D24" i="17" s="1"/>
  <c r="L23" i="17"/>
  <c r="M23" i="17" s="1"/>
  <c r="I23" i="17"/>
  <c r="J23" i="17" s="1"/>
  <c r="F23" i="17"/>
  <c r="G23" i="17" s="1"/>
  <c r="C23" i="17"/>
  <c r="D23" i="17" s="1"/>
  <c r="Q29" i="17"/>
  <c r="L22" i="17"/>
  <c r="M22" i="17" s="1"/>
  <c r="I22" i="17"/>
  <c r="J22" i="17" s="1"/>
  <c r="F22" i="17"/>
  <c r="G22" i="17" s="1"/>
  <c r="C22" i="17"/>
  <c r="D22" i="17" s="1"/>
  <c r="L21" i="17"/>
  <c r="M21" i="17" s="1"/>
  <c r="I21" i="17"/>
  <c r="J21" i="17" s="1"/>
  <c r="F21" i="17"/>
  <c r="G21" i="17" s="1"/>
  <c r="C21" i="17"/>
  <c r="D21" i="17" s="1"/>
  <c r="L20" i="17"/>
  <c r="M20" i="17" s="1"/>
  <c r="I20" i="17"/>
  <c r="J20" i="17" s="1"/>
  <c r="F20" i="17"/>
  <c r="G20" i="17" s="1"/>
  <c r="C20" i="17"/>
  <c r="D20" i="17" s="1"/>
  <c r="L19" i="17"/>
  <c r="M19" i="17" s="1"/>
  <c r="I19" i="17"/>
  <c r="J19" i="17" s="1"/>
  <c r="F19" i="17"/>
  <c r="G19" i="17" s="1"/>
  <c r="C19" i="17"/>
  <c r="D19" i="17" s="1"/>
  <c r="L18" i="17"/>
  <c r="M18" i="17" s="1"/>
  <c r="I18" i="17"/>
  <c r="J18" i="17" s="1"/>
  <c r="F18" i="17"/>
  <c r="G18" i="17" s="1"/>
  <c r="C18" i="17"/>
  <c r="D18" i="17" s="1"/>
  <c r="L17" i="17"/>
  <c r="M17" i="17" s="1"/>
  <c r="I17" i="17"/>
  <c r="J17" i="17" s="1"/>
  <c r="F17" i="17"/>
  <c r="G17" i="17" s="1"/>
  <c r="C17" i="17"/>
  <c r="D17" i="17" s="1"/>
  <c r="L16" i="17"/>
  <c r="M16" i="17" s="1"/>
  <c r="I16" i="17"/>
  <c r="J16" i="17" s="1"/>
  <c r="F16" i="17"/>
  <c r="G16" i="17" s="1"/>
  <c r="C16" i="17"/>
  <c r="D16" i="17" s="1"/>
  <c r="R29" i="17"/>
  <c r="L15" i="17"/>
  <c r="M15" i="17" s="1"/>
  <c r="I15" i="17"/>
  <c r="J15" i="17" s="1"/>
  <c r="F15" i="17"/>
  <c r="G15" i="17" s="1"/>
  <c r="C15" i="17"/>
  <c r="D15" i="17" s="1"/>
  <c r="L14" i="17"/>
  <c r="M14" i="17" s="1"/>
  <c r="I14" i="17"/>
  <c r="J14" i="17" s="1"/>
  <c r="F14" i="17"/>
  <c r="G14" i="17" s="1"/>
  <c r="C14" i="17"/>
  <c r="D14" i="17" s="1"/>
  <c r="L13" i="17"/>
  <c r="M13" i="17" s="1"/>
  <c r="I13" i="17"/>
  <c r="J13" i="17" s="1"/>
  <c r="F13" i="17"/>
  <c r="G13" i="17" s="1"/>
  <c r="C13" i="17"/>
  <c r="D13" i="17" s="1"/>
  <c r="L12" i="17"/>
  <c r="M12" i="17" s="1"/>
  <c r="I12" i="17"/>
  <c r="J12" i="17" s="1"/>
  <c r="F12" i="17"/>
  <c r="G12" i="17" s="1"/>
  <c r="C12" i="17"/>
  <c r="D12" i="17" s="1"/>
  <c r="L11" i="17"/>
  <c r="M11" i="17" s="1"/>
  <c r="I11" i="17"/>
  <c r="J11" i="17" s="1"/>
  <c r="F11" i="17"/>
  <c r="G11" i="17" s="1"/>
  <c r="C11" i="17"/>
  <c r="D11" i="17" s="1"/>
  <c r="L10" i="17"/>
  <c r="M10" i="17" s="1"/>
  <c r="I10" i="17"/>
  <c r="J10" i="17" s="1"/>
  <c r="F10" i="17"/>
  <c r="G10" i="17" s="1"/>
  <c r="C10" i="17"/>
  <c r="D10" i="17" s="1"/>
  <c r="L9" i="17"/>
  <c r="M9" i="17" s="1"/>
  <c r="I9" i="17"/>
  <c r="J9" i="17" s="1"/>
  <c r="F9" i="17"/>
  <c r="G9" i="17" s="1"/>
  <c r="C9" i="17"/>
  <c r="D9" i="17" s="1"/>
  <c r="L8" i="17"/>
  <c r="M8" i="17" s="1"/>
  <c r="I8" i="17"/>
  <c r="J8" i="17" s="1"/>
  <c r="F8" i="17"/>
  <c r="G8" i="17" s="1"/>
  <c r="C8" i="17"/>
  <c r="D8" i="17" s="1"/>
  <c r="L7" i="17"/>
  <c r="M7" i="17" s="1"/>
  <c r="I7" i="17"/>
  <c r="J7" i="17" s="1"/>
  <c r="F7" i="17"/>
  <c r="G7" i="17" s="1"/>
  <c r="C7" i="17"/>
  <c r="D7" i="17" s="1"/>
  <c r="L6" i="17"/>
  <c r="M6" i="17" s="1"/>
  <c r="I6" i="17"/>
  <c r="J6" i="17" s="1"/>
  <c r="F6" i="17"/>
  <c r="G6" i="17" s="1"/>
  <c r="C6" i="17"/>
  <c r="D6" i="17" s="1"/>
  <c r="L5" i="17"/>
  <c r="M5" i="17" s="1"/>
  <c r="I5" i="17"/>
  <c r="J5" i="17" s="1"/>
  <c r="F5" i="17"/>
  <c r="G5" i="17" s="1"/>
  <c r="C5" i="17"/>
  <c r="D5" i="17" s="1"/>
  <c r="I4" i="17"/>
  <c r="J4" i="17" s="1"/>
  <c r="I3" i="17"/>
  <c r="J3" i="17" s="1"/>
  <c r="E29" i="17" l="1"/>
  <c r="K29" i="17"/>
  <c r="N29" i="17"/>
  <c r="O29" i="17"/>
  <c r="F4" i="17"/>
  <c r="G4" i="17" s="1"/>
  <c r="B29" i="17"/>
  <c r="H29" i="17"/>
  <c r="K29" i="16"/>
  <c r="O31" i="16"/>
  <c r="J42" i="14" l="1"/>
  <c r="J41" i="14"/>
  <c r="J40" i="14"/>
  <c r="F41" i="16"/>
  <c r="F42" i="16" s="1"/>
  <c r="J43" i="16" s="1"/>
  <c r="F47" i="16"/>
  <c r="F44" i="16"/>
  <c r="F45" i="16" s="1"/>
  <c r="F43" i="16"/>
  <c r="F40" i="16"/>
  <c r="D47" i="16"/>
  <c r="G47" i="16" s="1"/>
  <c r="B45" i="16"/>
  <c r="D44" i="16"/>
  <c r="G44" i="16" s="1"/>
  <c r="C45" i="16"/>
  <c r="H42" i="16"/>
  <c r="C42" i="16"/>
  <c r="B42" i="16"/>
  <c r="I41" i="16"/>
  <c r="D41" i="16"/>
  <c r="I40" i="16"/>
  <c r="D40" i="16"/>
  <c r="G40" i="16" s="1"/>
  <c r="I42" i="16" l="1"/>
  <c r="J42" i="16" s="1"/>
  <c r="J45" i="16" s="1"/>
  <c r="J47" i="16" s="1"/>
  <c r="C46" i="16"/>
  <c r="D42" i="16"/>
  <c r="G41" i="16"/>
  <c r="G42" i="16"/>
  <c r="D45" i="16"/>
  <c r="B46" i="16"/>
  <c r="D43" i="16"/>
  <c r="G43" i="16" s="1"/>
  <c r="B36" i="16"/>
  <c r="D36" i="16"/>
  <c r="E36" i="16"/>
  <c r="F36" i="16"/>
  <c r="F35" i="16"/>
  <c r="E35" i="16"/>
  <c r="D35" i="16"/>
  <c r="C35" i="16"/>
  <c r="C36" i="16" s="1"/>
  <c r="B35" i="16"/>
  <c r="F34" i="16"/>
  <c r="E34" i="16"/>
  <c r="D34" i="16"/>
  <c r="C34" i="16"/>
  <c r="B34" i="16"/>
  <c r="G45" i="16" l="1"/>
  <c r="D46" i="16"/>
  <c r="E28" i="16"/>
  <c r="P28" i="16"/>
  <c r="O28" i="16"/>
  <c r="N28" i="16"/>
  <c r="K28" i="16"/>
  <c r="H28" i="16"/>
  <c r="B28" i="16"/>
  <c r="O26" i="16"/>
  <c r="N26" i="16"/>
  <c r="K26" i="16"/>
  <c r="E26" i="16"/>
  <c r="B26" i="16"/>
  <c r="P27" i="16"/>
  <c r="O27" i="16"/>
  <c r="N27" i="16"/>
  <c r="K27" i="16"/>
  <c r="H27" i="16"/>
  <c r="E27" i="16"/>
  <c r="B27" i="16"/>
  <c r="O25" i="16" l="1"/>
  <c r="N25" i="16"/>
  <c r="K25" i="16"/>
  <c r="E25" i="16"/>
  <c r="B25" i="16"/>
  <c r="O24" i="16" l="1"/>
  <c r="N24" i="16"/>
  <c r="K24" i="16"/>
  <c r="E24" i="16"/>
  <c r="B24" i="16"/>
  <c r="R23" i="16" l="1"/>
  <c r="P23" i="16"/>
  <c r="O23" i="16"/>
  <c r="N23" i="16"/>
  <c r="K23" i="16"/>
  <c r="H23" i="16"/>
  <c r="E23" i="16"/>
  <c r="B23" i="16"/>
  <c r="O22" i="16" l="1"/>
  <c r="R22" i="16"/>
  <c r="Q22" i="16"/>
  <c r="P22" i="16"/>
  <c r="N22" i="16"/>
  <c r="K22" i="16"/>
  <c r="H22" i="16"/>
  <c r="E22" i="16"/>
  <c r="B22" i="16"/>
  <c r="P21" i="16"/>
  <c r="O21" i="16"/>
  <c r="N21" i="16"/>
  <c r="K21" i="16"/>
  <c r="H21" i="16"/>
  <c r="E21" i="16"/>
  <c r="B21" i="16"/>
  <c r="O20" i="16"/>
  <c r="N20" i="16"/>
  <c r="K20" i="16"/>
  <c r="H20" i="16"/>
  <c r="E20" i="16"/>
  <c r="B20" i="16"/>
  <c r="R19" i="16" l="1"/>
  <c r="P19" i="16"/>
  <c r="O19" i="16"/>
  <c r="N19" i="16"/>
  <c r="K19" i="16"/>
  <c r="E19" i="16"/>
  <c r="B19" i="16"/>
  <c r="O18" i="16" l="1"/>
  <c r="N18" i="16"/>
  <c r="K18" i="16"/>
  <c r="H18" i="16"/>
  <c r="E18" i="16"/>
  <c r="B18" i="16"/>
  <c r="O17" i="16" l="1"/>
  <c r="N17" i="16"/>
  <c r="K17" i="16"/>
  <c r="E17" i="16"/>
  <c r="B17" i="16"/>
  <c r="P16" i="16" l="1"/>
  <c r="O16" i="16"/>
  <c r="N16" i="16"/>
  <c r="K16" i="16"/>
  <c r="H16" i="16"/>
  <c r="E16" i="16"/>
  <c r="B16" i="16"/>
  <c r="P15" i="16"/>
  <c r="O15" i="16"/>
  <c r="R15" i="16"/>
  <c r="N15" i="16"/>
  <c r="K15" i="16"/>
  <c r="E15" i="16"/>
  <c r="B15" i="16"/>
  <c r="P14" i="16"/>
  <c r="O14" i="16"/>
  <c r="N14" i="16"/>
  <c r="K14" i="16"/>
  <c r="H14" i="16"/>
  <c r="E14" i="16"/>
  <c r="B14" i="16"/>
  <c r="P13" i="16" l="1"/>
  <c r="O13" i="16"/>
  <c r="N13" i="16"/>
  <c r="K13" i="16"/>
  <c r="E13" i="16"/>
  <c r="B13" i="16"/>
  <c r="O12" i="16" l="1"/>
  <c r="N12" i="16"/>
  <c r="K12" i="16"/>
  <c r="H12" i="16"/>
  <c r="E12" i="16"/>
  <c r="B12" i="16"/>
  <c r="B11" i="16" l="1"/>
  <c r="O11" i="16"/>
  <c r="N11" i="16"/>
  <c r="K11" i="16"/>
  <c r="E11" i="16"/>
  <c r="P10" i="16" l="1"/>
  <c r="O10" i="16"/>
  <c r="N10" i="16"/>
  <c r="K10" i="16"/>
  <c r="E10" i="16"/>
  <c r="B10" i="16"/>
  <c r="O9" i="16"/>
  <c r="K9" i="16"/>
  <c r="H9" i="16"/>
  <c r="E9" i="16"/>
  <c r="B9" i="16"/>
  <c r="O8" i="16" l="1"/>
  <c r="N8" i="16"/>
  <c r="K8" i="16"/>
  <c r="E8" i="16"/>
  <c r="B8" i="16"/>
  <c r="O7" i="16" l="1"/>
  <c r="N7" i="16"/>
  <c r="B7" i="16"/>
  <c r="P6" i="16" l="1"/>
  <c r="O6" i="16"/>
  <c r="N6" i="16"/>
  <c r="K6" i="16"/>
  <c r="E6" i="16"/>
  <c r="B6" i="16"/>
  <c r="O5" i="16" l="1"/>
  <c r="N5" i="16"/>
  <c r="K5" i="16"/>
  <c r="E5" i="16"/>
  <c r="B5" i="16"/>
  <c r="F38" i="14" l="1"/>
  <c r="C41" i="14"/>
  <c r="G38" i="14"/>
  <c r="I38" i="14"/>
  <c r="F42" i="14" l="1"/>
  <c r="I35" i="14"/>
  <c r="H35" i="14"/>
  <c r="G35" i="14"/>
  <c r="F35" i="14"/>
  <c r="E35" i="14"/>
  <c r="D34" i="14"/>
  <c r="D33" i="14"/>
  <c r="C43" i="14" l="1"/>
  <c r="K30" i="14"/>
  <c r="F39" i="14" s="1"/>
  <c r="H30" i="14"/>
  <c r="E30" i="14"/>
  <c r="F45" i="14"/>
  <c r="F43" i="14"/>
  <c r="F41" i="14"/>
  <c r="D45" i="14"/>
  <c r="G45" i="14" s="1"/>
  <c r="B43" i="14"/>
  <c r="D42" i="14"/>
  <c r="D41" i="14"/>
  <c r="G41" i="14" s="1"/>
  <c r="H40" i="14"/>
  <c r="C40" i="14"/>
  <c r="B40" i="14"/>
  <c r="I39" i="14"/>
  <c r="D39" i="14"/>
  <c r="D38" i="14"/>
  <c r="F43" i="13"/>
  <c r="F40" i="14" l="1"/>
  <c r="I40" i="14"/>
  <c r="G42" i="14"/>
  <c r="G39" i="14"/>
  <c r="B44" i="14"/>
  <c r="C44" i="14"/>
  <c r="D43" i="14"/>
  <c r="G43" i="14" s="1"/>
  <c r="D40" i="14"/>
  <c r="B4" i="16"/>
  <c r="D44" i="14" l="1"/>
  <c r="J43" i="14"/>
  <c r="J45" i="14" s="1"/>
  <c r="G40" i="14"/>
  <c r="P4" i="16"/>
  <c r="O4" i="16"/>
  <c r="N4" i="16"/>
  <c r="K4" i="16"/>
  <c r="E4" i="16"/>
  <c r="P3" i="16"/>
  <c r="O3" i="16"/>
  <c r="N3" i="16"/>
  <c r="K3" i="16"/>
  <c r="H3" i="16"/>
  <c r="H29" i="16" s="1"/>
  <c r="E3" i="16"/>
  <c r="B3" i="16"/>
  <c r="L27" i="16"/>
  <c r="M27" i="16" s="1"/>
  <c r="L28" i="16"/>
  <c r="M28" i="16" s="1"/>
  <c r="I27" i="16"/>
  <c r="J27" i="16" s="1"/>
  <c r="I28" i="16"/>
  <c r="J28" i="16" s="1"/>
  <c r="F27" i="16"/>
  <c r="G27" i="16" s="1"/>
  <c r="F28" i="16"/>
  <c r="G28" i="16" s="1"/>
  <c r="C27" i="16"/>
  <c r="D27" i="16" s="1"/>
  <c r="C28" i="16"/>
  <c r="D28" i="16" s="1"/>
  <c r="C26" i="16"/>
  <c r="R29" i="16"/>
  <c r="Q29" i="16"/>
  <c r="E29" i="16" l="1"/>
  <c r="N29" i="16"/>
  <c r="P29" i="16"/>
  <c r="O29" i="16"/>
  <c r="B29" i="16"/>
  <c r="L26" i="16"/>
  <c r="M26" i="16" s="1"/>
  <c r="I26" i="16"/>
  <c r="J26" i="16" s="1"/>
  <c r="F26" i="16"/>
  <c r="G26" i="16" s="1"/>
  <c r="D26" i="16"/>
  <c r="L25" i="16"/>
  <c r="M25" i="16" s="1"/>
  <c r="I25" i="16"/>
  <c r="J25" i="16" s="1"/>
  <c r="F25" i="16"/>
  <c r="G25" i="16" s="1"/>
  <c r="C25" i="16"/>
  <c r="D25" i="16" s="1"/>
  <c r="L24" i="16"/>
  <c r="M24" i="16" s="1"/>
  <c r="I24" i="16"/>
  <c r="J24" i="16" s="1"/>
  <c r="F24" i="16"/>
  <c r="G24" i="16" s="1"/>
  <c r="C24" i="16"/>
  <c r="D24" i="16" s="1"/>
  <c r="L23" i="16"/>
  <c r="M23" i="16" s="1"/>
  <c r="I23" i="16"/>
  <c r="J23" i="16" s="1"/>
  <c r="F23" i="16"/>
  <c r="G23" i="16" s="1"/>
  <c r="C23" i="16"/>
  <c r="D23" i="16" s="1"/>
  <c r="L22" i="16"/>
  <c r="M22" i="16" s="1"/>
  <c r="I22" i="16"/>
  <c r="J22" i="16" s="1"/>
  <c r="F22" i="16"/>
  <c r="G22" i="16" s="1"/>
  <c r="C22" i="16"/>
  <c r="D22" i="16" s="1"/>
  <c r="L21" i="16"/>
  <c r="M21" i="16" s="1"/>
  <c r="I21" i="16"/>
  <c r="J21" i="16" s="1"/>
  <c r="F21" i="16"/>
  <c r="G21" i="16" s="1"/>
  <c r="C21" i="16"/>
  <c r="D21" i="16" s="1"/>
  <c r="L20" i="16"/>
  <c r="M20" i="16" s="1"/>
  <c r="I20" i="16"/>
  <c r="J20" i="16" s="1"/>
  <c r="F20" i="16"/>
  <c r="G20" i="16" s="1"/>
  <c r="C20" i="16"/>
  <c r="D20" i="16" s="1"/>
  <c r="L19" i="16"/>
  <c r="M19" i="16" s="1"/>
  <c r="I19" i="16"/>
  <c r="J19" i="16" s="1"/>
  <c r="F19" i="16"/>
  <c r="G19" i="16" s="1"/>
  <c r="C19" i="16"/>
  <c r="D19" i="16" s="1"/>
  <c r="L18" i="16"/>
  <c r="M18" i="16" s="1"/>
  <c r="I18" i="16"/>
  <c r="J18" i="16" s="1"/>
  <c r="F18" i="16"/>
  <c r="G18" i="16" s="1"/>
  <c r="C18" i="16"/>
  <c r="D18" i="16" s="1"/>
  <c r="L17" i="16"/>
  <c r="M17" i="16" s="1"/>
  <c r="I17" i="16"/>
  <c r="J17" i="16" s="1"/>
  <c r="F17" i="16"/>
  <c r="G17" i="16" s="1"/>
  <c r="C17" i="16"/>
  <c r="D17" i="16" s="1"/>
  <c r="L16" i="16"/>
  <c r="M16" i="16" s="1"/>
  <c r="I16" i="16"/>
  <c r="J16" i="16" s="1"/>
  <c r="F16" i="16"/>
  <c r="G16" i="16" s="1"/>
  <c r="C16" i="16"/>
  <c r="D16" i="16" s="1"/>
  <c r="L15" i="16"/>
  <c r="M15" i="16" s="1"/>
  <c r="I15" i="16"/>
  <c r="J15" i="16" s="1"/>
  <c r="F15" i="16"/>
  <c r="G15" i="16" s="1"/>
  <c r="C15" i="16"/>
  <c r="D15" i="16" s="1"/>
  <c r="L14" i="16"/>
  <c r="M14" i="16" s="1"/>
  <c r="I14" i="16"/>
  <c r="J14" i="16" s="1"/>
  <c r="F14" i="16"/>
  <c r="G14" i="16" s="1"/>
  <c r="C14" i="16"/>
  <c r="D14" i="16" s="1"/>
  <c r="L13" i="16"/>
  <c r="M13" i="16" s="1"/>
  <c r="I13" i="16"/>
  <c r="J13" i="16" s="1"/>
  <c r="F13" i="16"/>
  <c r="G13" i="16" s="1"/>
  <c r="C13" i="16"/>
  <c r="D13" i="16" s="1"/>
  <c r="L12" i="16"/>
  <c r="M12" i="16" s="1"/>
  <c r="I12" i="16"/>
  <c r="J12" i="16" s="1"/>
  <c r="F12" i="16"/>
  <c r="G12" i="16" s="1"/>
  <c r="C12" i="16"/>
  <c r="D12" i="16" s="1"/>
  <c r="L11" i="16"/>
  <c r="M11" i="16" s="1"/>
  <c r="I11" i="16"/>
  <c r="J11" i="16" s="1"/>
  <c r="F11" i="16"/>
  <c r="G11" i="16" s="1"/>
  <c r="C11" i="16"/>
  <c r="D11" i="16" s="1"/>
  <c r="L10" i="16"/>
  <c r="M10" i="16" s="1"/>
  <c r="I10" i="16"/>
  <c r="J10" i="16" s="1"/>
  <c r="F10" i="16"/>
  <c r="G10" i="16" s="1"/>
  <c r="C10" i="16"/>
  <c r="D10" i="16" s="1"/>
  <c r="L9" i="16"/>
  <c r="M9" i="16" s="1"/>
  <c r="I9" i="16"/>
  <c r="J9" i="16" s="1"/>
  <c r="F9" i="16"/>
  <c r="G9" i="16" s="1"/>
  <c r="C9" i="16"/>
  <c r="D9" i="16" s="1"/>
  <c r="L8" i="16"/>
  <c r="M8" i="16" s="1"/>
  <c r="I8" i="16"/>
  <c r="J8" i="16" s="1"/>
  <c r="F8" i="16"/>
  <c r="G8" i="16" s="1"/>
  <c r="C8" i="16"/>
  <c r="D8" i="16" s="1"/>
  <c r="L7" i="16"/>
  <c r="M7" i="16" s="1"/>
  <c r="I7" i="16"/>
  <c r="J7" i="16" s="1"/>
  <c r="F7" i="16"/>
  <c r="G7" i="16" s="1"/>
  <c r="C7" i="16"/>
  <c r="D7" i="16" s="1"/>
  <c r="L6" i="16"/>
  <c r="M6" i="16" s="1"/>
  <c r="I6" i="16"/>
  <c r="J6" i="16" s="1"/>
  <c r="F6" i="16"/>
  <c r="G6" i="16" s="1"/>
  <c r="C6" i="16"/>
  <c r="D6" i="16" s="1"/>
  <c r="L5" i="16"/>
  <c r="M5" i="16" s="1"/>
  <c r="I5" i="16"/>
  <c r="J5" i="16" s="1"/>
  <c r="F5" i="16"/>
  <c r="G5" i="16" s="1"/>
  <c r="C5" i="16"/>
  <c r="D5" i="16" s="1"/>
  <c r="L4" i="16"/>
  <c r="M4" i="16" s="1"/>
  <c r="I4" i="16"/>
  <c r="J4" i="16" s="1"/>
  <c r="F4" i="16"/>
  <c r="G4" i="16" s="1"/>
  <c r="C4" i="16"/>
  <c r="D4" i="16" s="1"/>
  <c r="L3" i="16"/>
  <c r="M3" i="16" s="1"/>
  <c r="I3" i="16"/>
  <c r="J3" i="16" s="1"/>
  <c r="F3" i="16"/>
  <c r="G3" i="16" s="1"/>
  <c r="O29" i="14"/>
  <c r="N29" i="14"/>
  <c r="K29" i="14"/>
  <c r="E29" i="14"/>
  <c r="B29" i="14"/>
  <c r="C3" i="16" l="1"/>
  <c r="D3" i="16" s="1"/>
  <c r="O28" i="14"/>
  <c r="N28" i="14"/>
  <c r="K28" i="14"/>
  <c r="H28" i="14"/>
  <c r="E28" i="14"/>
  <c r="B28" i="14"/>
  <c r="P27" i="14" l="1"/>
  <c r="O27" i="14"/>
  <c r="N27" i="14"/>
  <c r="K27" i="14"/>
  <c r="H27" i="14"/>
  <c r="E27" i="14"/>
  <c r="B27" i="14"/>
  <c r="P26" i="14" l="1"/>
  <c r="O26" i="14"/>
  <c r="N26" i="14"/>
  <c r="K26" i="14"/>
  <c r="H26" i="14"/>
  <c r="E26" i="14"/>
  <c r="B26" i="14"/>
  <c r="O25" i="14" l="1"/>
  <c r="N25" i="14"/>
  <c r="K25" i="14"/>
  <c r="E25" i="14"/>
  <c r="B25" i="14"/>
  <c r="R24" i="14"/>
  <c r="O24" i="14"/>
  <c r="N24" i="14"/>
  <c r="K24" i="14"/>
  <c r="E24" i="14"/>
  <c r="B24" i="14"/>
  <c r="O23" i="14"/>
  <c r="N23" i="14"/>
  <c r="K23" i="14"/>
  <c r="E23" i="14"/>
  <c r="B23" i="14"/>
  <c r="P22" i="14" l="1"/>
  <c r="O22" i="14"/>
  <c r="N22" i="14"/>
  <c r="K22" i="14"/>
  <c r="E22" i="14"/>
  <c r="B22" i="14"/>
  <c r="O21" i="14" l="1"/>
  <c r="N21" i="14"/>
  <c r="K21" i="14"/>
  <c r="E21" i="14"/>
  <c r="B21" i="14"/>
  <c r="P20" i="14" l="1"/>
  <c r="O20" i="14"/>
  <c r="N20" i="14"/>
  <c r="K20" i="14"/>
  <c r="H20" i="14"/>
  <c r="E20" i="14"/>
  <c r="B20" i="14"/>
  <c r="O19" i="14" l="1"/>
  <c r="P19" i="14"/>
  <c r="N19" i="14"/>
  <c r="K19" i="14"/>
  <c r="H19" i="14"/>
  <c r="E19" i="14"/>
  <c r="B19" i="14"/>
  <c r="O18" i="14"/>
  <c r="N18" i="14"/>
  <c r="K18" i="14"/>
  <c r="E18" i="14"/>
  <c r="B18" i="14"/>
  <c r="O17" i="14"/>
  <c r="N17" i="14"/>
  <c r="K17" i="14"/>
  <c r="H17" i="14"/>
  <c r="E17" i="14"/>
  <c r="B17" i="14"/>
  <c r="P16" i="14"/>
  <c r="O16" i="14"/>
  <c r="N16" i="14"/>
  <c r="K16" i="14"/>
  <c r="E16" i="14"/>
  <c r="B16" i="14"/>
  <c r="P15" i="14" l="1"/>
  <c r="O15" i="14"/>
  <c r="N15" i="14"/>
  <c r="K15" i="14"/>
  <c r="E15" i="14"/>
  <c r="B15" i="14"/>
  <c r="R14" i="14" l="1"/>
  <c r="P14" i="14"/>
  <c r="O14" i="14"/>
  <c r="N14" i="14"/>
  <c r="K14" i="14"/>
  <c r="E14" i="14"/>
  <c r="B14" i="14"/>
  <c r="O11" i="14" l="1"/>
  <c r="B11" i="14"/>
  <c r="P13" i="14"/>
  <c r="O13" i="14"/>
  <c r="N13" i="14"/>
  <c r="K13" i="14"/>
  <c r="H13" i="14"/>
  <c r="E13" i="14"/>
  <c r="B13" i="14"/>
  <c r="O12" i="14"/>
  <c r="N12" i="14"/>
  <c r="K12" i="14"/>
  <c r="E12" i="14"/>
  <c r="B12" i="14"/>
  <c r="N11" i="14"/>
  <c r="K11" i="14"/>
  <c r="H11" i="14"/>
  <c r="E11" i="14"/>
  <c r="O10" i="14" l="1"/>
  <c r="N10" i="14"/>
  <c r="K10" i="14"/>
  <c r="H10" i="14"/>
  <c r="E10" i="14"/>
  <c r="B10" i="14"/>
  <c r="P9" i="14" l="1"/>
  <c r="O9" i="14"/>
  <c r="N9" i="14"/>
  <c r="K9" i="14"/>
  <c r="H9" i="14"/>
  <c r="E9" i="14"/>
  <c r="B9" i="14"/>
  <c r="O8" i="14" l="1"/>
  <c r="B8" i="14"/>
  <c r="O7" i="14" l="1"/>
  <c r="N7" i="14"/>
  <c r="K7" i="14"/>
  <c r="H7" i="14"/>
  <c r="E7" i="14"/>
  <c r="B7" i="14"/>
  <c r="O6" i="14"/>
  <c r="N6" i="14"/>
  <c r="K6" i="14"/>
  <c r="H6" i="14"/>
  <c r="E6" i="14"/>
  <c r="B6" i="14"/>
  <c r="O5" i="14"/>
  <c r="N5" i="14"/>
  <c r="K5" i="14"/>
  <c r="H5" i="14"/>
  <c r="E5" i="14"/>
  <c r="B5" i="14"/>
  <c r="O4" i="14" l="1"/>
  <c r="R3" i="14" l="1"/>
  <c r="R30" i="14" s="1"/>
  <c r="O3" i="14"/>
  <c r="K3" i="14"/>
  <c r="H3" i="14"/>
  <c r="I3" i="14" s="1"/>
  <c r="J3" i="14" s="1"/>
  <c r="E3" i="14"/>
  <c r="B3" i="14"/>
  <c r="C29" i="14"/>
  <c r="D29" i="14" s="1"/>
  <c r="F29" i="14"/>
  <c r="G29" i="14" s="1"/>
  <c r="I29" i="14"/>
  <c r="J29" i="14" s="1"/>
  <c r="L29" i="14"/>
  <c r="M29" i="14" s="1"/>
  <c r="C26" i="14"/>
  <c r="D26" i="14" s="1"/>
  <c r="F26" i="14"/>
  <c r="G26" i="14" s="1"/>
  <c r="I26" i="14"/>
  <c r="J26" i="14" s="1"/>
  <c r="L26" i="14"/>
  <c r="M26" i="14" s="1"/>
  <c r="C27" i="14"/>
  <c r="D27" i="14" s="1"/>
  <c r="F27" i="14"/>
  <c r="G27" i="14" s="1"/>
  <c r="I27" i="14"/>
  <c r="J27" i="14" s="1"/>
  <c r="L27" i="14"/>
  <c r="M27" i="14" s="1"/>
  <c r="C28" i="14"/>
  <c r="D28" i="14" s="1"/>
  <c r="F28" i="14"/>
  <c r="G28" i="14" s="1"/>
  <c r="I28" i="14"/>
  <c r="J28" i="14" s="1"/>
  <c r="L28" i="14"/>
  <c r="M28" i="14" s="1"/>
  <c r="Q30" i="14"/>
  <c r="P30" i="14"/>
  <c r="O30" i="14"/>
  <c r="N30" i="14"/>
  <c r="B30" i="14"/>
  <c r="L25" i="14"/>
  <c r="M25" i="14" s="1"/>
  <c r="I25" i="14"/>
  <c r="J25" i="14" s="1"/>
  <c r="F25" i="14"/>
  <c r="G25" i="14" s="1"/>
  <c r="C25" i="14"/>
  <c r="D25" i="14" s="1"/>
  <c r="L24" i="14"/>
  <c r="M24" i="14" s="1"/>
  <c r="I24" i="14"/>
  <c r="J24" i="14" s="1"/>
  <c r="F24" i="14"/>
  <c r="G24" i="14" s="1"/>
  <c r="C24" i="14"/>
  <c r="D24" i="14" s="1"/>
  <c r="L23" i="14"/>
  <c r="M23" i="14" s="1"/>
  <c r="I23" i="14"/>
  <c r="J23" i="14" s="1"/>
  <c r="F23" i="14"/>
  <c r="G23" i="14" s="1"/>
  <c r="C23" i="14"/>
  <c r="D23" i="14" s="1"/>
  <c r="L22" i="14"/>
  <c r="M22" i="14" s="1"/>
  <c r="I22" i="14"/>
  <c r="J22" i="14" s="1"/>
  <c r="F22" i="14"/>
  <c r="G22" i="14" s="1"/>
  <c r="C22" i="14"/>
  <c r="D22" i="14" s="1"/>
  <c r="L21" i="14"/>
  <c r="M21" i="14" s="1"/>
  <c r="I21" i="14"/>
  <c r="J21" i="14" s="1"/>
  <c r="F21" i="14"/>
  <c r="G21" i="14" s="1"/>
  <c r="C21" i="14"/>
  <c r="D21" i="14" s="1"/>
  <c r="L20" i="14"/>
  <c r="M20" i="14" s="1"/>
  <c r="I20" i="14"/>
  <c r="J20" i="14" s="1"/>
  <c r="F20" i="14"/>
  <c r="G20" i="14" s="1"/>
  <c r="C20" i="14"/>
  <c r="D20" i="14" s="1"/>
  <c r="L19" i="14"/>
  <c r="M19" i="14" s="1"/>
  <c r="I19" i="14"/>
  <c r="J19" i="14" s="1"/>
  <c r="F19" i="14"/>
  <c r="G19" i="14" s="1"/>
  <c r="C19" i="14"/>
  <c r="D19" i="14" s="1"/>
  <c r="L18" i="14"/>
  <c r="M18" i="14" s="1"/>
  <c r="I18" i="14"/>
  <c r="J18" i="14" s="1"/>
  <c r="F18" i="14"/>
  <c r="G18" i="14" s="1"/>
  <c r="C18" i="14"/>
  <c r="D18" i="14" s="1"/>
  <c r="L17" i="14"/>
  <c r="M17" i="14" s="1"/>
  <c r="I17" i="14"/>
  <c r="J17" i="14" s="1"/>
  <c r="F17" i="14"/>
  <c r="G17" i="14" s="1"/>
  <c r="C17" i="14"/>
  <c r="D17" i="14" s="1"/>
  <c r="L16" i="14"/>
  <c r="M16" i="14" s="1"/>
  <c r="I16" i="14"/>
  <c r="J16" i="14" s="1"/>
  <c r="F16" i="14"/>
  <c r="G16" i="14" s="1"/>
  <c r="C16" i="14"/>
  <c r="D16" i="14" s="1"/>
  <c r="L15" i="14"/>
  <c r="M15" i="14" s="1"/>
  <c r="I15" i="14"/>
  <c r="J15" i="14" s="1"/>
  <c r="F15" i="14"/>
  <c r="G15" i="14" s="1"/>
  <c r="C15" i="14"/>
  <c r="D15" i="14" s="1"/>
  <c r="L14" i="14"/>
  <c r="M14" i="14" s="1"/>
  <c r="I14" i="14"/>
  <c r="J14" i="14" s="1"/>
  <c r="F14" i="14"/>
  <c r="G14" i="14" s="1"/>
  <c r="C14" i="14"/>
  <c r="D14" i="14" s="1"/>
  <c r="L13" i="14"/>
  <c r="M13" i="14" s="1"/>
  <c r="I13" i="14"/>
  <c r="J13" i="14" s="1"/>
  <c r="F13" i="14"/>
  <c r="G13" i="14" s="1"/>
  <c r="C13" i="14"/>
  <c r="D13" i="14" s="1"/>
  <c r="L12" i="14"/>
  <c r="M12" i="14" s="1"/>
  <c r="I12" i="14"/>
  <c r="J12" i="14" s="1"/>
  <c r="F12" i="14"/>
  <c r="G12" i="14" s="1"/>
  <c r="C12" i="14"/>
  <c r="D12" i="14" s="1"/>
  <c r="L11" i="14"/>
  <c r="M11" i="14" s="1"/>
  <c r="I11" i="14"/>
  <c r="J11" i="14" s="1"/>
  <c r="F11" i="14"/>
  <c r="G11" i="14" s="1"/>
  <c r="C11" i="14"/>
  <c r="D11" i="14" s="1"/>
  <c r="L10" i="14"/>
  <c r="M10" i="14" s="1"/>
  <c r="I10" i="14"/>
  <c r="J10" i="14" s="1"/>
  <c r="F10" i="14"/>
  <c r="G10" i="14" s="1"/>
  <c r="C10" i="14"/>
  <c r="D10" i="14" s="1"/>
  <c r="L9" i="14"/>
  <c r="M9" i="14" s="1"/>
  <c r="I9" i="14"/>
  <c r="J9" i="14" s="1"/>
  <c r="F9" i="14"/>
  <c r="G9" i="14" s="1"/>
  <c r="C9" i="14"/>
  <c r="D9" i="14" s="1"/>
  <c r="L8" i="14"/>
  <c r="M8" i="14" s="1"/>
  <c r="I8" i="14"/>
  <c r="J8" i="14" s="1"/>
  <c r="F8" i="14"/>
  <c r="G8" i="14" s="1"/>
  <c r="C8" i="14"/>
  <c r="D8" i="14" s="1"/>
  <c r="L7" i="14"/>
  <c r="M7" i="14" s="1"/>
  <c r="I7" i="14"/>
  <c r="J7" i="14" s="1"/>
  <c r="F7" i="14"/>
  <c r="G7" i="14" s="1"/>
  <c r="C7" i="14"/>
  <c r="D7" i="14" s="1"/>
  <c r="L6" i="14"/>
  <c r="M6" i="14" s="1"/>
  <c r="I6" i="14"/>
  <c r="J6" i="14" s="1"/>
  <c r="F6" i="14"/>
  <c r="G6" i="14" s="1"/>
  <c r="C6" i="14"/>
  <c r="D6" i="14" s="1"/>
  <c r="L5" i="14"/>
  <c r="M5" i="14" s="1"/>
  <c r="F5" i="14"/>
  <c r="G5" i="14" s="1"/>
  <c r="C5" i="14"/>
  <c r="D5" i="14" s="1"/>
  <c r="L4" i="14"/>
  <c r="M4" i="14" s="1"/>
  <c r="I4" i="14"/>
  <c r="J4" i="14" s="1"/>
  <c r="F4" i="14"/>
  <c r="G4" i="14" s="1"/>
  <c r="C4" i="14"/>
  <c r="D4" i="14" s="1"/>
  <c r="F3" i="14"/>
  <c r="G3" i="14" s="1"/>
  <c r="L3" i="14" l="1"/>
  <c r="M3" i="14" s="1"/>
  <c r="C3" i="14"/>
  <c r="D3" i="14" s="1"/>
  <c r="I5" i="14"/>
  <c r="J5" i="14" s="1"/>
  <c r="J46" i="13"/>
  <c r="F45" i="13"/>
  <c r="F42" i="13"/>
  <c r="D49" i="13"/>
  <c r="C47" i="13"/>
  <c r="B47" i="13"/>
  <c r="D46" i="13"/>
  <c r="D45" i="13"/>
  <c r="H44" i="13"/>
  <c r="C44" i="13"/>
  <c r="C48" i="13" s="1"/>
  <c r="B44" i="13"/>
  <c r="I43" i="13"/>
  <c r="D43" i="13"/>
  <c r="I42" i="13"/>
  <c r="I44" i="13" s="1"/>
  <c r="J44" i="13" s="1"/>
  <c r="D42" i="13"/>
  <c r="G45" i="13" l="1"/>
  <c r="G43" i="13"/>
  <c r="F44" i="13"/>
  <c r="J45" i="13" s="1"/>
  <c r="G42" i="13"/>
  <c r="J47" i="13"/>
  <c r="J49" i="13" s="1"/>
  <c r="D47" i="13"/>
  <c r="D44" i="13"/>
  <c r="G44" i="13" s="1"/>
  <c r="B48" i="13"/>
  <c r="R29" i="13"/>
  <c r="D48" i="13" l="1"/>
  <c r="R31" i="13"/>
  <c r="E34" i="13"/>
  <c r="F34" i="13"/>
  <c r="G34" i="13"/>
  <c r="H34" i="13"/>
  <c r="D33" i="13"/>
  <c r="D32" i="13"/>
  <c r="F49" i="13" l="1"/>
  <c r="G49" i="13" s="1"/>
  <c r="F46" i="13"/>
  <c r="O28" i="13"/>
  <c r="G46" i="13" l="1"/>
  <c r="F47" i="13"/>
  <c r="G47" i="13" s="1"/>
  <c r="P26" i="13"/>
  <c r="O26" i="13"/>
  <c r="N26" i="13"/>
  <c r="K26" i="13"/>
  <c r="H26" i="13"/>
  <c r="E26" i="13"/>
  <c r="B26" i="13"/>
  <c r="B25" i="13"/>
  <c r="O25" i="13"/>
  <c r="N25" i="13"/>
  <c r="K25" i="13"/>
  <c r="E25" i="13"/>
  <c r="P27" i="13" l="1"/>
  <c r="O27" i="13"/>
  <c r="N27" i="13"/>
  <c r="K27" i="13"/>
  <c r="E27" i="13"/>
  <c r="B27" i="13"/>
  <c r="P24" i="13" l="1"/>
  <c r="O24" i="13"/>
  <c r="N24" i="13"/>
  <c r="K24" i="13"/>
  <c r="E24" i="13"/>
  <c r="B24" i="13"/>
  <c r="R23" i="13" l="1"/>
  <c r="P23" i="13"/>
  <c r="O23" i="13"/>
  <c r="N23" i="13"/>
  <c r="K23" i="13"/>
  <c r="H23" i="13"/>
  <c r="E23" i="13"/>
  <c r="B23" i="13"/>
  <c r="O22" i="13" l="1"/>
  <c r="N22" i="13"/>
  <c r="K22" i="13"/>
  <c r="H22" i="13"/>
  <c r="E22" i="13"/>
  <c r="B22" i="13"/>
  <c r="Q29" i="13"/>
  <c r="C28" i="13"/>
  <c r="D28" i="13" s="1"/>
  <c r="F28" i="13"/>
  <c r="G28" i="13" s="1"/>
  <c r="I28" i="13"/>
  <c r="J28" i="13" s="1"/>
  <c r="L28" i="13"/>
  <c r="M28" i="13" s="1"/>
  <c r="J46" i="11" l="1"/>
  <c r="J45" i="11"/>
  <c r="F49" i="11"/>
  <c r="F46" i="11"/>
  <c r="F47" i="11" s="1"/>
  <c r="F45" i="11"/>
  <c r="F44" i="11"/>
  <c r="F43" i="11"/>
  <c r="F42" i="11"/>
  <c r="D49" i="11"/>
  <c r="C47" i="11"/>
  <c r="B47" i="11"/>
  <c r="D46" i="11"/>
  <c r="D45" i="11"/>
  <c r="H44" i="11"/>
  <c r="C44" i="11"/>
  <c r="B44" i="11"/>
  <c r="D44" i="11" s="1"/>
  <c r="I43" i="11"/>
  <c r="D43" i="11"/>
  <c r="I42" i="11"/>
  <c r="D42" i="11"/>
  <c r="I44" i="11" l="1"/>
  <c r="J44" i="11" s="1"/>
  <c r="J47" i="11" s="1"/>
  <c r="G49" i="11"/>
  <c r="G46" i="11"/>
  <c r="G45" i="11"/>
  <c r="G43" i="11"/>
  <c r="G42" i="11"/>
  <c r="D47" i="11"/>
  <c r="C48" i="11"/>
  <c r="G44" i="11"/>
  <c r="D48" i="11"/>
  <c r="G47" i="11"/>
  <c r="B48" i="11"/>
  <c r="O19" i="13"/>
  <c r="O21" i="13"/>
  <c r="N21" i="13"/>
  <c r="K21" i="13"/>
  <c r="E21" i="13"/>
  <c r="B21" i="13"/>
  <c r="R20" i="13"/>
  <c r="P20" i="13"/>
  <c r="O20" i="13"/>
  <c r="N20" i="13"/>
  <c r="K20" i="13"/>
  <c r="H20" i="13"/>
  <c r="E20" i="13"/>
  <c r="B20" i="13"/>
  <c r="K19" i="13"/>
  <c r="E19" i="13"/>
  <c r="B19" i="13"/>
  <c r="N19" i="13"/>
  <c r="J49" i="11" l="1"/>
  <c r="O18" i="13"/>
  <c r="B18" i="13"/>
  <c r="R17" i="13"/>
  <c r="O17" i="13"/>
  <c r="N17" i="13"/>
  <c r="K17" i="13"/>
  <c r="H17" i="13"/>
  <c r="E17" i="13"/>
  <c r="B17" i="13"/>
  <c r="P16" i="13" l="1"/>
  <c r="O16" i="13"/>
  <c r="N16" i="13"/>
  <c r="K16" i="13"/>
  <c r="H16" i="13"/>
  <c r="E16" i="13"/>
  <c r="B16" i="13"/>
  <c r="O15" i="13" l="1"/>
  <c r="N15" i="13"/>
  <c r="K15" i="13"/>
  <c r="H15" i="13"/>
  <c r="E15" i="13"/>
  <c r="B15" i="13"/>
  <c r="R14" i="13"/>
  <c r="O14" i="13"/>
  <c r="N14" i="13"/>
  <c r="K14" i="13"/>
  <c r="H14" i="13"/>
  <c r="E14" i="13"/>
  <c r="B14" i="13"/>
  <c r="O13" i="13"/>
  <c r="N13" i="13"/>
  <c r="K13" i="13"/>
  <c r="E13" i="13"/>
  <c r="B13" i="13"/>
  <c r="O12" i="13" l="1"/>
  <c r="N12" i="13"/>
  <c r="K12" i="13"/>
  <c r="E12" i="13"/>
  <c r="B12" i="13"/>
  <c r="P11" i="13" l="1"/>
  <c r="O11" i="13"/>
  <c r="N11" i="13"/>
  <c r="K11" i="13"/>
  <c r="H11" i="13"/>
  <c r="E11" i="13"/>
  <c r="B11" i="13"/>
  <c r="P10" i="13" l="1"/>
  <c r="O10" i="13"/>
  <c r="N10" i="13"/>
  <c r="K10" i="13"/>
  <c r="H10" i="13"/>
  <c r="E10" i="13"/>
  <c r="B10" i="13"/>
  <c r="P8" i="13" l="1"/>
  <c r="O8" i="13"/>
  <c r="N8" i="13"/>
  <c r="K8" i="13"/>
  <c r="H8" i="13"/>
  <c r="E8" i="13"/>
  <c r="B8" i="13"/>
  <c r="P7" i="13"/>
  <c r="O7" i="13"/>
  <c r="N7" i="13"/>
  <c r="K7" i="13"/>
  <c r="H7" i="13"/>
  <c r="E7" i="13"/>
  <c r="B7" i="13"/>
  <c r="O6" i="13"/>
  <c r="N6" i="13"/>
  <c r="K6" i="13"/>
  <c r="E6" i="13"/>
  <c r="B6" i="13"/>
  <c r="O5" i="13"/>
  <c r="P5" i="13"/>
  <c r="N5" i="13"/>
  <c r="K5" i="13"/>
  <c r="H5" i="13"/>
  <c r="E5" i="13"/>
  <c r="B5" i="13"/>
  <c r="P29" i="13" l="1"/>
  <c r="O4" i="13"/>
  <c r="N4" i="13"/>
  <c r="K4" i="13"/>
  <c r="H4" i="13"/>
  <c r="H29" i="13" s="1"/>
  <c r="E4" i="13"/>
  <c r="B4" i="13"/>
  <c r="O3" i="13"/>
  <c r="O29" i="13" s="1"/>
  <c r="N3" i="13"/>
  <c r="K3" i="13"/>
  <c r="E3" i="13"/>
  <c r="B3" i="13"/>
  <c r="L27" i="13"/>
  <c r="M27" i="13" s="1"/>
  <c r="I27" i="13"/>
  <c r="J27" i="13" s="1"/>
  <c r="F27" i="13"/>
  <c r="G27" i="13" s="1"/>
  <c r="C27" i="13"/>
  <c r="D27" i="13" s="1"/>
  <c r="L26" i="13"/>
  <c r="M26" i="13" s="1"/>
  <c r="I26" i="13"/>
  <c r="J26" i="13" s="1"/>
  <c r="F26" i="13"/>
  <c r="G26" i="13" s="1"/>
  <c r="C26" i="13"/>
  <c r="D26" i="13" s="1"/>
  <c r="L25" i="13"/>
  <c r="M25" i="13" s="1"/>
  <c r="I25" i="13"/>
  <c r="J25" i="13" s="1"/>
  <c r="F25" i="13"/>
  <c r="G25" i="13" s="1"/>
  <c r="C25" i="13"/>
  <c r="D25" i="13" s="1"/>
  <c r="L24" i="13"/>
  <c r="M24" i="13" s="1"/>
  <c r="I24" i="13"/>
  <c r="J24" i="13" s="1"/>
  <c r="F24" i="13"/>
  <c r="G24" i="13" s="1"/>
  <c r="C24" i="13"/>
  <c r="D24" i="13" s="1"/>
  <c r="L23" i="13"/>
  <c r="M23" i="13" s="1"/>
  <c r="I23" i="13"/>
  <c r="J23" i="13" s="1"/>
  <c r="F23" i="13"/>
  <c r="G23" i="13" s="1"/>
  <c r="C23" i="13"/>
  <c r="D23" i="13" s="1"/>
  <c r="L22" i="13"/>
  <c r="M22" i="13" s="1"/>
  <c r="I22" i="13"/>
  <c r="J22" i="13" s="1"/>
  <c r="F22" i="13"/>
  <c r="G22" i="13" s="1"/>
  <c r="C22" i="13"/>
  <c r="D22" i="13" s="1"/>
  <c r="L21" i="13"/>
  <c r="M21" i="13" s="1"/>
  <c r="I21" i="13"/>
  <c r="J21" i="13" s="1"/>
  <c r="F21" i="13"/>
  <c r="G21" i="13" s="1"/>
  <c r="C21" i="13"/>
  <c r="D21" i="13" s="1"/>
  <c r="L20" i="13"/>
  <c r="M20" i="13" s="1"/>
  <c r="I20" i="13"/>
  <c r="J20" i="13" s="1"/>
  <c r="F20" i="13"/>
  <c r="G20" i="13" s="1"/>
  <c r="C20" i="13"/>
  <c r="D20" i="13" s="1"/>
  <c r="L19" i="13"/>
  <c r="M19" i="13" s="1"/>
  <c r="I19" i="13"/>
  <c r="J19" i="13" s="1"/>
  <c r="F19" i="13"/>
  <c r="G19" i="13" s="1"/>
  <c r="C19" i="13"/>
  <c r="D19" i="13" s="1"/>
  <c r="L18" i="13"/>
  <c r="M18" i="13" s="1"/>
  <c r="I18" i="13"/>
  <c r="J18" i="13" s="1"/>
  <c r="F18" i="13"/>
  <c r="G18" i="13" s="1"/>
  <c r="C18" i="13"/>
  <c r="D18" i="13" s="1"/>
  <c r="L17" i="13"/>
  <c r="M17" i="13" s="1"/>
  <c r="I17" i="13"/>
  <c r="J17" i="13" s="1"/>
  <c r="F17" i="13"/>
  <c r="G17" i="13" s="1"/>
  <c r="C17" i="13"/>
  <c r="D17" i="13" s="1"/>
  <c r="L16" i="13"/>
  <c r="M16" i="13" s="1"/>
  <c r="I16" i="13"/>
  <c r="J16" i="13" s="1"/>
  <c r="F16" i="13"/>
  <c r="G16" i="13" s="1"/>
  <c r="C16" i="13"/>
  <c r="D16" i="13" s="1"/>
  <c r="I15" i="13"/>
  <c r="J15" i="13" s="1"/>
  <c r="F15" i="13"/>
  <c r="G15" i="13" s="1"/>
  <c r="C15" i="13"/>
  <c r="D15" i="13" s="1"/>
  <c r="L14" i="13"/>
  <c r="M14" i="13" s="1"/>
  <c r="I14" i="13"/>
  <c r="J14" i="13" s="1"/>
  <c r="F14" i="13"/>
  <c r="G14" i="13" s="1"/>
  <c r="C14" i="13"/>
  <c r="D14" i="13" s="1"/>
  <c r="L13" i="13"/>
  <c r="M13" i="13" s="1"/>
  <c r="I13" i="13"/>
  <c r="J13" i="13" s="1"/>
  <c r="F13" i="13"/>
  <c r="G13" i="13" s="1"/>
  <c r="C13" i="13"/>
  <c r="D13" i="13" s="1"/>
  <c r="L12" i="13"/>
  <c r="M12" i="13" s="1"/>
  <c r="F12" i="13"/>
  <c r="G12" i="13" s="1"/>
  <c r="C12" i="13"/>
  <c r="D12" i="13" s="1"/>
  <c r="L11" i="13"/>
  <c r="M11" i="13" s="1"/>
  <c r="I11" i="13"/>
  <c r="J11" i="13" s="1"/>
  <c r="F11" i="13"/>
  <c r="G11" i="13" s="1"/>
  <c r="C11" i="13"/>
  <c r="D11" i="13" s="1"/>
  <c r="L10" i="13"/>
  <c r="M10" i="13" s="1"/>
  <c r="I10" i="13"/>
  <c r="J10" i="13" s="1"/>
  <c r="F10" i="13"/>
  <c r="G10" i="13" s="1"/>
  <c r="C10" i="13"/>
  <c r="D10" i="13" s="1"/>
  <c r="L9" i="13"/>
  <c r="M9" i="13" s="1"/>
  <c r="I9" i="13"/>
  <c r="J9" i="13" s="1"/>
  <c r="F9" i="13"/>
  <c r="G9" i="13" s="1"/>
  <c r="C9" i="13"/>
  <c r="D9" i="13" s="1"/>
  <c r="L8" i="13"/>
  <c r="M8" i="13" s="1"/>
  <c r="I8" i="13"/>
  <c r="J8" i="13" s="1"/>
  <c r="F8" i="13"/>
  <c r="G8" i="13" s="1"/>
  <c r="C8" i="13"/>
  <c r="D8" i="13" s="1"/>
  <c r="L7" i="13"/>
  <c r="M7" i="13" s="1"/>
  <c r="I7" i="13"/>
  <c r="J7" i="13" s="1"/>
  <c r="F7" i="13"/>
  <c r="G7" i="13" s="1"/>
  <c r="C7" i="13"/>
  <c r="D7" i="13" s="1"/>
  <c r="L6" i="13"/>
  <c r="M6" i="13" s="1"/>
  <c r="I6" i="13"/>
  <c r="J6" i="13" s="1"/>
  <c r="F6" i="13"/>
  <c r="G6" i="13" s="1"/>
  <c r="C6" i="13"/>
  <c r="D6" i="13" s="1"/>
  <c r="L5" i="13"/>
  <c r="M5" i="13" s="1"/>
  <c r="I5" i="13"/>
  <c r="J5" i="13" s="1"/>
  <c r="F5" i="13"/>
  <c r="G5" i="13" s="1"/>
  <c r="C5" i="13"/>
  <c r="D5" i="13" s="1"/>
  <c r="F4" i="13"/>
  <c r="G4" i="13" s="1"/>
  <c r="C4" i="13"/>
  <c r="D4" i="13" s="1"/>
  <c r="L3" i="13"/>
  <c r="M3" i="13" s="1"/>
  <c r="I3" i="13"/>
  <c r="J3" i="13" s="1"/>
  <c r="C3" i="13" l="1"/>
  <c r="D3" i="13" s="1"/>
  <c r="B29" i="13"/>
  <c r="F3" i="13"/>
  <c r="G3" i="13" s="1"/>
  <c r="E29" i="13"/>
  <c r="K29" i="13"/>
  <c r="N29" i="13"/>
  <c r="L4" i="13"/>
  <c r="M4" i="13" s="1"/>
  <c r="I4" i="13"/>
  <c r="J4" i="13" s="1"/>
  <c r="I12" i="13"/>
  <c r="J12" i="13" s="1"/>
  <c r="L15" i="13"/>
  <c r="M15" i="13" s="1"/>
  <c r="O29" i="11"/>
  <c r="N29" i="11"/>
  <c r="K29" i="11"/>
  <c r="H29" i="11"/>
  <c r="E29" i="11"/>
  <c r="B29" i="11"/>
  <c r="P28" i="11"/>
  <c r="O28" i="11"/>
  <c r="N28" i="11"/>
  <c r="K28" i="11"/>
  <c r="H28" i="11"/>
  <c r="E28" i="11"/>
  <c r="B28" i="11"/>
  <c r="R27" i="11"/>
  <c r="O27" i="11"/>
  <c r="N27" i="11"/>
  <c r="K27" i="11"/>
  <c r="H27" i="11"/>
  <c r="E27" i="11"/>
  <c r="B27" i="11"/>
  <c r="O26" i="11"/>
  <c r="N26" i="11"/>
  <c r="K26" i="11"/>
  <c r="H26" i="11"/>
  <c r="E26" i="11"/>
  <c r="B26" i="11"/>
  <c r="R25" i="11" l="1"/>
  <c r="O25" i="11"/>
  <c r="N25" i="11"/>
  <c r="K25" i="11"/>
  <c r="H25" i="11"/>
  <c r="E25" i="11"/>
  <c r="B25" i="11"/>
  <c r="O24" i="11"/>
  <c r="N24" i="11"/>
  <c r="K24" i="11"/>
  <c r="H24" i="11"/>
  <c r="E24" i="11"/>
  <c r="B24" i="11"/>
  <c r="B23" i="11"/>
  <c r="E23" i="11"/>
  <c r="H23" i="11"/>
  <c r="I23" i="11" s="1"/>
  <c r="J23" i="11" s="1"/>
  <c r="K23" i="11"/>
  <c r="L23" i="11" s="1"/>
  <c r="M23" i="11" s="1"/>
  <c r="O23" i="11"/>
  <c r="O22" i="11"/>
  <c r="N22" i="11"/>
  <c r="K22" i="11"/>
  <c r="H22" i="11"/>
  <c r="E22" i="11"/>
  <c r="B22" i="11"/>
  <c r="O21" i="11"/>
  <c r="N21" i="11"/>
  <c r="K21" i="11"/>
  <c r="H21" i="11"/>
  <c r="I21" i="11" s="1"/>
  <c r="J21" i="11" s="1"/>
  <c r="E21" i="11"/>
  <c r="B21" i="11"/>
  <c r="O20" i="11"/>
  <c r="N20" i="11"/>
  <c r="K20" i="11"/>
  <c r="H20" i="11"/>
  <c r="I20" i="11" s="1"/>
  <c r="J20" i="11" s="1"/>
  <c r="E20" i="11"/>
  <c r="B20" i="11"/>
  <c r="O18" i="11"/>
  <c r="N18" i="11"/>
  <c r="K18" i="11"/>
  <c r="H18" i="11"/>
  <c r="I18" i="11" s="1"/>
  <c r="J18" i="11" s="1"/>
  <c r="E18" i="11"/>
  <c r="B18" i="11"/>
  <c r="C18" i="11" s="1"/>
  <c r="D18" i="11" s="1"/>
  <c r="O17" i="11"/>
  <c r="N17" i="11"/>
  <c r="K17" i="11"/>
  <c r="H17" i="11"/>
  <c r="E17" i="11"/>
  <c r="B17" i="11"/>
  <c r="O16" i="11"/>
  <c r="N16" i="11"/>
  <c r="K16" i="11"/>
  <c r="H16" i="11"/>
  <c r="E16" i="11"/>
  <c r="F16" i="11" s="1"/>
  <c r="G16" i="11" s="1"/>
  <c r="B16" i="11"/>
  <c r="O15" i="11"/>
  <c r="N15" i="11"/>
  <c r="K15" i="11"/>
  <c r="H15" i="11"/>
  <c r="E15" i="11"/>
  <c r="B15" i="11"/>
  <c r="C15" i="11" s="1"/>
  <c r="D15" i="11" s="1"/>
  <c r="O14" i="11"/>
  <c r="P14" i="11"/>
  <c r="N14" i="11"/>
  <c r="K14" i="11"/>
  <c r="H14" i="11"/>
  <c r="E14" i="11"/>
  <c r="B14" i="11"/>
  <c r="C14" i="11" s="1"/>
  <c r="D14" i="11" s="1"/>
  <c r="B13" i="11"/>
  <c r="O12" i="11"/>
  <c r="N12" i="11"/>
  <c r="K12" i="11"/>
  <c r="L12" i="11" s="1"/>
  <c r="M12" i="11" s="1"/>
  <c r="H12" i="11"/>
  <c r="E12" i="11"/>
  <c r="B12" i="11"/>
  <c r="C12" i="11" s="1"/>
  <c r="D12" i="11" s="1"/>
  <c r="O11" i="11"/>
  <c r="N11" i="11"/>
  <c r="K11" i="11"/>
  <c r="H11" i="11"/>
  <c r="E11" i="11"/>
  <c r="F11" i="11" s="1"/>
  <c r="G11" i="11" s="1"/>
  <c r="B11" i="11"/>
  <c r="O10" i="11"/>
  <c r="N10" i="11"/>
  <c r="K10" i="11"/>
  <c r="E10" i="11"/>
  <c r="F10" i="11" s="1"/>
  <c r="G10" i="11" s="1"/>
  <c r="B10" i="11"/>
  <c r="O8" i="11"/>
  <c r="N8" i="11"/>
  <c r="K8" i="11"/>
  <c r="L8" i="11" s="1"/>
  <c r="M8" i="11" s="1"/>
  <c r="E8" i="11"/>
  <c r="B8" i="11"/>
  <c r="R7" i="11"/>
  <c r="O7" i="11"/>
  <c r="N7" i="11"/>
  <c r="K7" i="11"/>
  <c r="L7" i="11" s="1"/>
  <c r="M7" i="11" s="1"/>
  <c r="H7" i="11"/>
  <c r="E7" i="11"/>
  <c r="B7" i="11"/>
  <c r="C7" i="11" s="1"/>
  <c r="D7" i="11" s="1"/>
  <c r="R6" i="11"/>
  <c r="P6" i="11"/>
  <c r="P30" i="11" s="1"/>
  <c r="O6" i="11"/>
  <c r="N6" i="11"/>
  <c r="K6" i="11"/>
  <c r="H6" i="11"/>
  <c r="E6" i="11"/>
  <c r="B6" i="11"/>
  <c r="R5" i="11"/>
  <c r="P5" i="11"/>
  <c r="O5" i="11"/>
  <c r="N5" i="11"/>
  <c r="K5" i="11"/>
  <c r="H5" i="11"/>
  <c r="E5" i="11"/>
  <c r="B5" i="11"/>
  <c r="O4" i="11"/>
  <c r="N4" i="11"/>
  <c r="K4" i="11"/>
  <c r="L4" i="11" s="1"/>
  <c r="M4" i="11" s="1"/>
  <c r="H4" i="11"/>
  <c r="E4" i="11"/>
  <c r="B4" i="11"/>
  <c r="P3" i="11"/>
  <c r="O3" i="11"/>
  <c r="N3" i="11"/>
  <c r="K3" i="11"/>
  <c r="H3" i="11"/>
  <c r="E3" i="11"/>
  <c r="B3" i="11"/>
  <c r="Q30" i="11"/>
  <c r="L29" i="11"/>
  <c r="M29" i="11" s="1"/>
  <c r="I29" i="11"/>
  <c r="J29" i="11" s="1"/>
  <c r="F29" i="11"/>
  <c r="G29" i="11" s="1"/>
  <c r="C29" i="11"/>
  <c r="D29" i="11" s="1"/>
  <c r="L28" i="11"/>
  <c r="M28" i="11" s="1"/>
  <c r="I28" i="11"/>
  <c r="J28" i="11" s="1"/>
  <c r="F28" i="11"/>
  <c r="G28" i="11" s="1"/>
  <c r="C28" i="11"/>
  <c r="D28" i="11" s="1"/>
  <c r="L27" i="11"/>
  <c r="M27" i="11" s="1"/>
  <c r="I27" i="11"/>
  <c r="J27" i="11" s="1"/>
  <c r="F27" i="11"/>
  <c r="G27" i="11" s="1"/>
  <c r="C27" i="11"/>
  <c r="D27" i="11" s="1"/>
  <c r="L26" i="11"/>
  <c r="M26" i="11" s="1"/>
  <c r="I26" i="11"/>
  <c r="J26" i="11" s="1"/>
  <c r="F26" i="11"/>
  <c r="G26" i="11" s="1"/>
  <c r="C26" i="11"/>
  <c r="D26" i="11" s="1"/>
  <c r="L25" i="11"/>
  <c r="M25" i="11" s="1"/>
  <c r="I25" i="11"/>
  <c r="J25" i="11" s="1"/>
  <c r="F25" i="11"/>
  <c r="G25" i="11" s="1"/>
  <c r="C25" i="11"/>
  <c r="D25" i="11" s="1"/>
  <c r="L24" i="11"/>
  <c r="M24" i="11" s="1"/>
  <c r="I24" i="11"/>
  <c r="J24" i="11" s="1"/>
  <c r="F24" i="11"/>
  <c r="G24" i="11" s="1"/>
  <c r="C24" i="11"/>
  <c r="D24" i="11" s="1"/>
  <c r="F23" i="11"/>
  <c r="G23" i="11" s="1"/>
  <c r="C23" i="11"/>
  <c r="D23" i="11" s="1"/>
  <c r="L22" i="11"/>
  <c r="M22" i="11" s="1"/>
  <c r="I22" i="11"/>
  <c r="J22" i="11" s="1"/>
  <c r="F22" i="11"/>
  <c r="G22" i="11" s="1"/>
  <c r="C22" i="11"/>
  <c r="D22" i="11" s="1"/>
  <c r="L21" i="11"/>
  <c r="M21" i="11" s="1"/>
  <c r="F21" i="11"/>
  <c r="G21" i="11" s="1"/>
  <c r="C21" i="11"/>
  <c r="D21" i="11" s="1"/>
  <c r="L20" i="11"/>
  <c r="M20" i="11" s="1"/>
  <c r="F20" i="11"/>
  <c r="G20" i="11" s="1"/>
  <c r="C20" i="11"/>
  <c r="D20" i="11" s="1"/>
  <c r="L19" i="11"/>
  <c r="M19" i="11" s="1"/>
  <c r="I19" i="11"/>
  <c r="J19" i="11" s="1"/>
  <c r="F19" i="11"/>
  <c r="G19" i="11" s="1"/>
  <c r="C19" i="11"/>
  <c r="D19" i="11" s="1"/>
  <c r="L18" i="11"/>
  <c r="M18" i="11" s="1"/>
  <c r="F18" i="11"/>
  <c r="G18" i="11" s="1"/>
  <c r="L17" i="11"/>
  <c r="M17" i="11" s="1"/>
  <c r="I17" i="11"/>
  <c r="J17" i="11" s="1"/>
  <c r="F17" i="11"/>
  <c r="G17" i="11" s="1"/>
  <c r="C17" i="11"/>
  <c r="D17" i="11" s="1"/>
  <c r="L16" i="11"/>
  <c r="M16" i="11" s="1"/>
  <c r="I16" i="11"/>
  <c r="J16" i="11" s="1"/>
  <c r="C16" i="11"/>
  <c r="D16" i="11" s="1"/>
  <c r="L15" i="11"/>
  <c r="M15" i="11" s="1"/>
  <c r="I15" i="11"/>
  <c r="J15" i="11" s="1"/>
  <c r="F15" i="11"/>
  <c r="G15" i="11" s="1"/>
  <c r="L14" i="11"/>
  <c r="M14" i="11" s="1"/>
  <c r="I14" i="11"/>
  <c r="J14" i="11" s="1"/>
  <c r="F14" i="11"/>
  <c r="G14" i="11" s="1"/>
  <c r="L13" i="11"/>
  <c r="M13" i="11" s="1"/>
  <c r="I13" i="11"/>
  <c r="J13" i="11" s="1"/>
  <c r="F13" i="11"/>
  <c r="G13" i="11" s="1"/>
  <c r="C13" i="11"/>
  <c r="D13" i="11" s="1"/>
  <c r="I12" i="11"/>
  <c r="J12" i="11" s="1"/>
  <c r="F12" i="11"/>
  <c r="G12" i="11" s="1"/>
  <c r="L11" i="11"/>
  <c r="M11" i="11" s="1"/>
  <c r="I11" i="11"/>
  <c r="J11" i="11" s="1"/>
  <c r="L10" i="11"/>
  <c r="M10" i="11" s="1"/>
  <c r="I10" i="11"/>
  <c r="J10" i="11" s="1"/>
  <c r="C10" i="11"/>
  <c r="D10" i="11" s="1"/>
  <c r="L9" i="11"/>
  <c r="M9" i="11" s="1"/>
  <c r="I9" i="11"/>
  <c r="J9" i="11" s="1"/>
  <c r="C9" i="11"/>
  <c r="D9" i="11" s="1"/>
  <c r="F8" i="11"/>
  <c r="G8" i="11" s="1"/>
  <c r="C8" i="11"/>
  <c r="D8" i="11" s="1"/>
  <c r="I7" i="11"/>
  <c r="J7" i="11" s="1"/>
  <c r="F7" i="11"/>
  <c r="G7" i="11" s="1"/>
  <c r="L6" i="11"/>
  <c r="M6" i="11" s="1"/>
  <c r="I6" i="11"/>
  <c r="J6" i="11" s="1"/>
  <c r="F6" i="11"/>
  <c r="G6" i="11" s="1"/>
  <c r="C6" i="11"/>
  <c r="D6" i="11" s="1"/>
  <c r="L5" i="11"/>
  <c r="M5" i="11" s="1"/>
  <c r="I5" i="11"/>
  <c r="J5" i="11" s="1"/>
  <c r="F5" i="11"/>
  <c r="G5" i="11" s="1"/>
  <c r="C5" i="11"/>
  <c r="D5" i="11" s="1"/>
  <c r="F4" i="11"/>
  <c r="G4" i="11" s="1"/>
  <c r="C4" i="11"/>
  <c r="D4" i="11" s="1"/>
  <c r="L3" i="11"/>
  <c r="M3" i="11" s="1"/>
  <c r="I3" i="11"/>
  <c r="J3" i="11" s="1"/>
  <c r="F3" i="11"/>
  <c r="G3" i="11" s="1"/>
  <c r="C3" i="11"/>
  <c r="D3" i="11" s="1"/>
  <c r="O29" i="10"/>
  <c r="N29" i="10"/>
  <c r="K29" i="10"/>
  <c r="E29" i="10"/>
  <c r="B29" i="10"/>
  <c r="O28" i="10"/>
  <c r="N28" i="10"/>
  <c r="K28" i="10"/>
  <c r="L28" i="10" s="1"/>
  <c r="M28" i="10" s="1"/>
  <c r="E28" i="10"/>
  <c r="B28" i="10"/>
  <c r="C28" i="10" s="1"/>
  <c r="D28" i="10" s="1"/>
  <c r="O27" i="10"/>
  <c r="N27" i="10"/>
  <c r="K27" i="10"/>
  <c r="L27" i="10" s="1"/>
  <c r="M27" i="10" s="1"/>
  <c r="E27" i="10"/>
  <c r="B27" i="10"/>
  <c r="C27" i="10" s="1"/>
  <c r="D27" i="10" s="1"/>
  <c r="O26" i="10"/>
  <c r="N26" i="10"/>
  <c r="K26" i="10"/>
  <c r="H26" i="10"/>
  <c r="I26" i="10" s="1"/>
  <c r="J26" i="10" s="1"/>
  <c r="E26" i="10"/>
  <c r="F26" i="10" s="1"/>
  <c r="G26" i="10" s="1"/>
  <c r="B26" i="10"/>
  <c r="C26" i="10" s="1"/>
  <c r="D26" i="10" s="1"/>
  <c r="P25" i="10"/>
  <c r="O25" i="10"/>
  <c r="N25" i="10"/>
  <c r="K25" i="10"/>
  <c r="L25" i="10" s="1"/>
  <c r="M25" i="10" s="1"/>
  <c r="H25" i="10"/>
  <c r="E25" i="10"/>
  <c r="B25" i="10"/>
  <c r="C25" i="10" s="1"/>
  <c r="D25" i="10" s="1"/>
  <c r="O24" i="10"/>
  <c r="N24" i="10"/>
  <c r="K24" i="10"/>
  <c r="H24" i="10"/>
  <c r="E24" i="10"/>
  <c r="F24" i="10" s="1"/>
  <c r="G24" i="10" s="1"/>
  <c r="B24" i="10"/>
  <c r="O23" i="10"/>
  <c r="R23" i="10"/>
  <c r="N23" i="10"/>
  <c r="K23" i="10"/>
  <c r="E23" i="10"/>
  <c r="F23" i="10" s="1"/>
  <c r="G23" i="10" s="1"/>
  <c r="B23" i="10"/>
  <c r="R22" i="10"/>
  <c r="O22" i="10"/>
  <c r="N22" i="10"/>
  <c r="K22" i="10"/>
  <c r="L22" i="10" s="1"/>
  <c r="M22" i="10" s="1"/>
  <c r="E22" i="10"/>
  <c r="B22" i="10"/>
  <c r="O21" i="10"/>
  <c r="N21" i="10"/>
  <c r="K21" i="10"/>
  <c r="L21" i="10" s="1"/>
  <c r="M21" i="10" s="1"/>
  <c r="H21" i="10"/>
  <c r="E21" i="10"/>
  <c r="B21" i="10"/>
  <c r="C21" i="10" s="1"/>
  <c r="D21" i="10" s="1"/>
  <c r="C23" i="10"/>
  <c r="D23" i="10" s="1"/>
  <c r="I23" i="10"/>
  <c r="J23" i="10"/>
  <c r="L23" i="10"/>
  <c r="M23" i="10"/>
  <c r="C24" i="10"/>
  <c r="D24" i="10"/>
  <c r="I24" i="10"/>
  <c r="J24" i="10" s="1"/>
  <c r="L24" i="10"/>
  <c r="M24" i="10" s="1"/>
  <c r="F25" i="10"/>
  <c r="G25" i="10" s="1"/>
  <c r="I25" i="10"/>
  <c r="J25" i="10"/>
  <c r="L26" i="10"/>
  <c r="M26" i="10" s="1"/>
  <c r="F27" i="10"/>
  <c r="G27" i="10"/>
  <c r="I27" i="10"/>
  <c r="J27" i="10" s="1"/>
  <c r="F28" i="10"/>
  <c r="G28" i="10"/>
  <c r="I28" i="10"/>
  <c r="J28" i="10"/>
  <c r="C29" i="10"/>
  <c r="D29" i="10"/>
  <c r="F29" i="10"/>
  <c r="G29" i="10" s="1"/>
  <c r="I29" i="10"/>
  <c r="J29" i="10" s="1"/>
  <c r="L29" i="10"/>
  <c r="M29" i="10"/>
  <c r="P20" i="10"/>
  <c r="O20" i="10"/>
  <c r="N20" i="10"/>
  <c r="K20" i="10"/>
  <c r="L20" i="10" s="1"/>
  <c r="M20" i="10" s="1"/>
  <c r="E20" i="10"/>
  <c r="F20" i="10" s="1"/>
  <c r="G20" i="10" s="1"/>
  <c r="B20" i="10"/>
  <c r="C20" i="10" s="1"/>
  <c r="D20" i="10" s="1"/>
  <c r="P19" i="10"/>
  <c r="O19" i="10"/>
  <c r="N19" i="10"/>
  <c r="K19" i="10"/>
  <c r="L19" i="10" s="1"/>
  <c r="M19" i="10" s="1"/>
  <c r="E19" i="10"/>
  <c r="B19" i="10"/>
  <c r="O18" i="10"/>
  <c r="N18" i="10"/>
  <c r="K18" i="10"/>
  <c r="L18" i="10" s="1"/>
  <c r="M18" i="10" s="1"/>
  <c r="E18" i="10"/>
  <c r="F18" i="10" s="1"/>
  <c r="G18" i="10" s="1"/>
  <c r="B18" i="10"/>
  <c r="C18" i="10" s="1"/>
  <c r="D18" i="10" s="1"/>
  <c r="O17" i="10"/>
  <c r="N17" i="10"/>
  <c r="K17" i="10"/>
  <c r="E17" i="10"/>
  <c r="B17" i="10"/>
  <c r="O16" i="10"/>
  <c r="N16" i="10"/>
  <c r="K16" i="10"/>
  <c r="L16" i="10" s="1"/>
  <c r="M16" i="10" s="1"/>
  <c r="H16" i="10"/>
  <c r="I16" i="10" s="1"/>
  <c r="J16" i="10" s="1"/>
  <c r="E16" i="10"/>
  <c r="B16" i="10"/>
  <c r="C16" i="10" s="1"/>
  <c r="D16" i="10" s="1"/>
  <c r="R15" i="10"/>
  <c r="O15" i="10"/>
  <c r="N15" i="10"/>
  <c r="K15" i="10"/>
  <c r="H15" i="10"/>
  <c r="E15" i="10"/>
  <c r="F15" i="10" s="1"/>
  <c r="G15" i="10" s="1"/>
  <c r="B15" i="10"/>
  <c r="C15" i="10" s="1"/>
  <c r="D15" i="10" s="1"/>
  <c r="R14" i="10"/>
  <c r="P14" i="10"/>
  <c r="O14" i="10"/>
  <c r="N14" i="10"/>
  <c r="K14" i="10"/>
  <c r="L14" i="10" s="1"/>
  <c r="M14" i="10" s="1"/>
  <c r="E14" i="10"/>
  <c r="F14" i="10" s="1"/>
  <c r="G14" i="10" s="1"/>
  <c r="B14" i="10"/>
  <c r="C14" i="10" s="1"/>
  <c r="D14" i="10" s="1"/>
  <c r="O13" i="10"/>
  <c r="N13" i="10"/>
  <c r="K13" i="10"/>
  <c r="L13" i="10" s="1"/>
  <c r="M13" i="10" s="1"/>
  <c r="E13" i="10"/>
  <c r="B13" i="10"/>
  <c r="C13" i="10" s="1"/>
  <c r="D13" i="10" s="1"/>
  <c r="O12" i="10"/>
  <c r="N12" i="10"/>
  <c r="K12" i="10"/>
  <c r="L12" i="10" s="1"/>
  <c r="M12" i="10" s="1"/>
  <c r="H12" i="10"/>
  <c r="I12" i="10" s="1"/>
  <c r="J12" i="10" s="1"/>
  <c r="E12" i="10"/>
  <c r="F12" i="10" s="1"/>
  <c r="G12" i="10" s="1"/>
  <c r="B12" i="10"/>
  <c r="C12" i="10" s="1"/>
  <c r="D12" i="10" s="1"/>
  <c r="R11" i="10"/>
  <c r="O11" i="10"/>
  <c r="N11" i="10"/>
  <c r="K11" i="10"/>
  <c r="H11" i="10"/>
  <c r="E11" i="10"/>
  <c r="B11" i="10"/>
  <c r="C11" i="10" s="1"/>
  <c r="D11" i="10" s="1"/>
  <c r="R10" i="10"/>
  <c r="O10" i="10"/>
  <c r="N10" i="10"/>
  <c r="K10" i="10"/>
  <c r="L10" i="10" s="1"/>
  <c r="M10" i="10" s="1"/>
  <c r="H10" i="10"/>
  <c r="I10" i="10" s="1"/>
  <c r="J10" i="10" s="1"/>
  <c r="E10" i="10"/>
  <c r="F10" i="10" s="1"/>
  <c r="G10" i="10" s="1"/>
  <c r="B10" i="10"/>
  <c r="C10" i="10" s="1"/>
  <c r="D10" i="10" s="1"/>
  <c r="O9" i="10"/>
  <c r="N9" i="10"/>
  <c r="E9" i="10"/>
  <c r="F9" i="10" s="1"/>
  <c r="G9" i="10" s="1"/>
  <c r="B9" i="10"/>
  <c r="O8" i="10"/>
  <c r="P8" i="10"/>
  <c r="N8" i="10"/>
  <c r="K8" i="10"/>
  <c r="H8" i="10"/>
  <c r="E8" i="10"/>
  <c r="F8" i="10" s="1"/>
  <c r="G8" i="10" s="1"/>
  <c r="B8" i="10"/>
  <c r="C8" i="10" s="1"/>
  <c r="D8" i="10" s="1"/>
  <c r="O7" i="10"/>
  <c r="N7" i="10"/>
  <c r="K7" i="10"/>
  <c r="L7" i="10" s="1"/>
  <c r="M7" i="10" s="1"/>
  <c r="H7" i="10"/>
  <c r="I7" i="10" s="1"/>
  <c r="J7" i="10" s="1"/>
  <c r="E7" i="10"/>
  <c r="B7" i="10"/>
  <c r="O6" i="10"/>
  <c r="N6" i="10"/>
  <c r="K6" i="10"/>
  <c r="E6" i="10"/>
  <c r="F6" i="10" s="1"/>
  <c r="G6" i="10" s="1"/>
  <c r="B6" i="10"/>
  <c r="C6" i="10" s="1"/>
  <c r="D6" i="10" s="1"/>
  <c r="O5" i="10"/>
  <c r="N5" i="10"/>
  <c r="K5" i="10"/>
  <c r="E5" i="10"/>
  <c r="F5" i="10" s="1"/>
  <c r="G5" i="10" s="1"/>
  <c r="B5" i="10"/>
  <c r="C5" i="10" s="1"/>
  <c r="D5" i="10" s="1"/>
  <c r="O4" i="10"/>
  <c r="N4" i="10"/>
  <c r="E4" i="10"/>
  <c r="F4" i="10" s="1"/>
  <c r="G4" i="10" s="1"/>
  <c r="B4" i="10"/>
  <c r="C4" i="10" s="1"/>
  <c r="D4" i="10" s="1"/>
  <c r="O3" i="10"/>
  <c r="N3" i="10"/>
  <c r="K3" i="10"/>
  <c r="E3" i="10"/>
  <c r="F3" i="10" s="1"/>
  <c r="G3" i="10" s="1"/>
  <c r="B3" i="10"/>
  <c r="C3" i="10" s="1"/>
  <c r="D3" i="10" s="1"/>
  <c r="Q30" i="10"/>
  <c r="I22" i="10"/>
  <c r="J22" i="10" s="1"/>
  <c r="F22" i="10"/>
  <c r="G22" i="10" s="1"/>
  <c r="C22" i="10"/>
  <c r="D22" i="10" s="1"/>
  <c r="I21" i="10"/>
  <c r="J21" i="10" s="1"/>
  <c r="F21" i="10"/>
  <c r="G21" i="10" s="1"/>
  <c r="I20" i="10"/>
  <c r="J20" i="10" s="1"/>
  <c r="I19" i="10"/>
  <c r="J19" i="10" s="1"/>
  <c r="F19" i="10"/>
  <c r="G19" i="10" s="1"/>
  <c r="C19" i="10"/>
  <c r="D19" i="10" s="1"/>
  <c r="I18" i="10"/>
  <c r="J18" i="10" s="1"/>
  <c r="L17" i="10"/>
  <c r="M17" i="10" s="1"/>
  <c r="I17" i="10"/>
  <c r="J17" i="10" s="1"/>
  <c r="F17" i="10"/>
  <c r="G17" i="10" s="1"/>
  <c r="C17" i="10"/>
  <c r="D17" i="10" s="1"/>
  <c r="F16" i="10"/>
  <c r="G16" i="10" s="1"/>
  <c r="L15" i="10"/>
  <c r="M15" i="10" s="1"/>
  <c r="I14" i="10"/>
  <c r="J14" i="10" s="1"/>
  <c r="I13" i="10"/>
  <c r="J13" i="10" s="1"/>
  <c r="F13" i="10"/>
  <c r="G13" i="10" s="1"/>
  <c r="L11" i="10"/>
  <c r="M11" i="10" s="1"/>
  <c r="I11" i="10"/>
  <c r="J11" i="10" s="1"/>
  <c r="F11" i="10"/>
  <c r="G11" i="10" s="1"/>
  <c r="L9" i="10"/>
  <c r="M9" i="10" s="1"/>
  <c r="I9" i="10"/>
  <c r="J9" i="10" s="1"/>
  <c r="C9" i="10"/>
  <c r="D9" i="10" s="1"/>
  <c r="L8" i="10"/>
  <c r="M8" i="10" s="1"/>
  <c r="I8" i="10"/>
  <c r="J8" i="10" s="1"/>
  <c r="F7" i="10"/>
  <c r="G7" i="10" s="1"/>
  <c r="C7" i="10"/>
  <c r="D7" i="10" s="1"/>
  <c r="L6" i="10"/>
  <c r="M6" i="10" s="1"/>
  <c r="I6" i="10"/>
  <c r="J6" i="10" s="1"/>
  <c r="L5" i="10"/>
  <c r="M5" i="10" s="1"/>
  <c r="I5" i="10"/>
  <c r="J5" i="10" s="1"/>
  <c r="L4" i="10"/>
  <c r="M4" i="10" s="1"/>
  <c r="I4" i="10"/>
  <c r="J4" i="10" s="1"/>
  <c r="I3" i="10"/>
  <c r="J3" i="10" s="1"/>
  <c r="R26" i="9"/>
  <c r="O26" i="9"/>
  <c r="N26" i="9"/>
  <c r="K26" i="9"/>
  <c r="L26" i="9" s="1"/>
  <c r="M26" i="9" s="1"/>
  <c r="E26" i="9"/>
  <c r="F26" i="9" s="1"/>
  <c r="G26" i="9" s="1"/>
  <c r="B26" i="9"/>
  <c r="C26" i="9" s="1"/>
  <c r="D26" i="9" s="1"/>
  <c r="R25" i="9"/>
  <c r="O25" i="9"/>
  <c r="N25" i="9"/>
  <c r="K25" i="9"/>
  <c r="H25" i="9"/>
  <c r="I25" i="9" s="1"/>
  <c r="J25" i="9" s="1"/>
  <c r="E25" i="9"/>
  <c r="F25" i="9" s="1"/>
  <c r="G25" i="9" s="1"/>
  <c r="B25" i="9"/>
  <c r="C25" i="9" s="1"/>
  <c r="D25" i="9" s="1"/>
  <c r="O24" i="9"/>
  <c r="N24" i="9"/>
  <c r="K24" i="9"/>
  <c r="L24" i="9" s="1"/>
  <c r="M24" i="9" s="1"/>
  <c r="E24" i="9"/>
  <c r="F24" i="9" s="1"/>
  <c r="G24" i="9" s="1"/>
  <c r="B24" i="9"/>
  <c r="C24" i="9" s="1"/>
  <c r="D24" i="9" s="1"/>
  <c r="O23" i="9"/>
  <c r="N23" i="9"/>
  <c r="K23" i="9"/>
  <c r="E23" i="9"/>
  <c r="F23" i="9" s="1"/>
  <c r="G23" i="9" s="1"/>
  <c r="B23" i="9"/>
  <c r="C23" i="9" s="1"/>
  <c r="D23" i="9" s="1"/>
  <c r="B22" i="9"/>
  <c r="C22" i="9" s="1"/>
  <c r="D22" i="9" s="1"/>
  <c r="O21" i="9"/>
  <c r="N21" i="9"/>
  <c r="K21" i="9"/>
  <c r="L21" i="9" s="1"/>
  <c r="M21" i="9" s="1"/>
  <c r="E21" i="9"/>
  <c r="F21" i="9" s="1"/>
  <c r="G21" i="9" s="1"/>
  <c r="B21" i="9"/>
  <c r="C21" i="9" s="1"/>
  <c r="D21" i="9" s="1"/>
  <c r="P20" i="9"/>
  <c r="O20" i="9"/>
  <c r="N20" i="9"/>
  <c r="K20" i="9"/>
  <c r="E20" i="9"/>
  <c r="F20" i="9" s="1"/>
  <c r="G20" i="9" s="1"/>
  <c r="B20" i="9"/>
  <c r="C20" i="9" s="1"/>
  <c r="D20" i="9" s="1"/>
  <c r="O19" i="9"/>
  <c r="N19" i="9"/>
  <c r="K19" i="9"/>
  <c r="E19" i="9"/>
  <c r="F19" i="9" s="1"/>
  <c r="G19" i="9" s="1"/>
  <c r="B19" i="9"/>
  <c r="C19" i="9" s="1"/>
  <c r="D19" i="9" s="1"/>
  <c r="O18" i="9"/>
  <c r="N18" i="9"/>
  <c r="K18" i="9"/>
  <c r="L18" i="9" s="1"/>
  <c r="M18" i="9" s="1"/>
  <c r="H18" i="9"/>
  <c r="I18" i="9" s="1"/>
  <c r="J18" i="9" s="1"/>
  <c r="E18" i="9"/>
  <c r="B18" i="9"/>
  <c r="C18" i="9" s="1"/>
  <c r="D18" i="9" s="1"/>
  <c r="O17" i="9"/>
  <c r="K17" i="9"/>
  <c r="L17" i="9" s="1"/>
  <c r="M17" i="9" s="1"/>
  <c r="H17" i="9"/>
  <c r="I17" i="9" s="1"/>
  <c r="J17" i="9" s="1"/>
  <c r="E17" i="9"/>
  <c r="F17" i="9" s="1"/>
  <c r="G17" i="9" s="1"/>
  <c r="B17" i="9"/>
  <c r="C17" i="9" s="1"/>
  <c r="D17" i="9" s="1"/>
  <c r="N16" i="9"/>
  <c r="R16" i="9"/>
  <c r="O16" i="9"/>
  <c r="K16" i="9"/>
  <c r="L16" i="9" s="1"/>
  <c r="M16" i="9" s="1"/>
  <c r="H16" i="9"/>
  <c r="I16" i="9" s="1"/>
  <c r="J16" i="9" s="1"/>
  <c r="E16" i="9"/>
  <c r="F16" i="9" s="1"/>
  <c r="G16" i="9" s="1"/>
  <c r="B16" i="9"/>
  <c r="C16" i="9" s="1"/>
  <c r="D16" i="9" s="1"/>
  <c r="O15" i="9"/>
  <c r="N15" i="9"/>
  <c r="K15" i="9"/>
  <c r="H15" i="9"/>
  <c r="I15" i="9" s="1"/>
  <c r="J15" i="9" s="1"/>
  <c r="E15" i="9"/>
  <c r="F15" i="9" s="1"/>
  <c r="G15" i="9" s="1"/>
  <c r="B15" i="9"/>
  <c r="C15" i="9" s="1"/>
  <c r="D15" i="9" s="1"/>
  <c r="P14" i="9"/>
  <c r="O14" i="9"/>
  <c r="N14" i="9"/>
  <c r="K14" i="9"/>
  <c r="L14" i="9" s="1"/>
  <c r="M14" i="9" s="1"/>
  <c r="E14" i="9"/>
  <c r="F14" i="9" s="1"/>
  <c r="G14" i="9" s="1"/>
  <c r="B14" i="9"/>
  <c r="C14" i="9" s="1"/>
  <c r="D14" i="9" s="1"/>
  <c r="O13" i="9"/>
  <c r="N13" i="9"/>
  <c r="K13" i="9"/>
  <c r="L13" i="9" s="1"/>
  <c r="M13" i="9" s="1"/>
  <c r="H13" i="9"/>
  <c r="I13" i="9" s="1"/>
  <c r="J13" i="9" s="1"/>
  <c r="E13" i="9"/>
  <c r="F13" i="9" s="1"/>
  <c r="G13" i="9" s="1"/>
  <c r="B13" i="9"/>
  <c r="C13" i="9" s="1"/>
  <c r="D13" i="9" s="1"/>
  <c r="O12" i="9"/>
  <c r="R12" i="9"/>
  <c r="P12" i="9"/>
  <c r="N12" i="9"/>
  <c r="K12" i="9"/>
  <c r="E12" i="9"/>
  <c r="F12" i="9" s="1"/>
  <c r="G12" i="9" s="1"/>
  <c r="B12" i="9"/>
  <c r="C12" i="9" s="1"/>
  <c r="D12" i="9" s="1"/>
  <c r="O11" i="9"/>
  <c r="N11" i="9"/>
  <c r="K11" i="9"/>
  <c r="L11" i="9" s="1"/>
  <c r="M11" i="9" s="1"/>
  <c r="E11" i="9"/>
  <c r="F11" i="9" s="1"/>
  <c r="G11" i="9" s="1"/>
  <c r="B11" i="9"/>
  <c r="C11" i="9" s="1"/>
  <c r="D11" i="9" s="1"/>
  <c r="P10" i="9"/>
  <c r="O10" i="9"/>
  <c r="N10" i="9"/>
  <c r="K10" i="9"/>
  <c r="L10" i="9" s="1"/>
  <c r="M10" i="9" s="1"/>
  <c r="E10" i="9"/>
  <c r="F10" i="9" s="1"/>
  <c r="G10" i="9" s="1"/>
  <c r="B10" i="9"/>
  <c r="C10" i="9" s="1"/>
  <c r="D10" i="9" s="1"/>
  <c r="O9" i="9"/>
  <c r="N9" i="9"/>
  <c r="K9" i="9"/>
  <c r="E9" i="9"/>
  <c r="F9" i="9" s="1"/>
  <c r="G9" i="9" s="1"/>
  <c r="B9" i="9"/>
  <c r="C9" i="9" s="1"/>
  <c r="D9" i="9" s="1"/>
  <c r="P8" i="9"/>
  <c r="O8" i="9"/>
  <c r="N8" i="9"/>
  <c r="E8" i="9"/>
  <c r="B8" i="9"/>
  <c r="C8" i="9" s="1"/>
  <c r="D8" i="9" s="1"/>
  <c r="O7" i="9"/>
  <c r="N7" i="9"/>
  <c r="K7" i="9"/>
  <c r="L7" i="9" s="1"/>
  <c r="M7" i="9" s="1"/>
  <c r="E7" i="9"/>
  <c r="F7" i="9" s="1"/>
  <c r="G7" i="9" s="1"/>
  <c r="B7" i="9"/>
  <c r="C7" i="9" s="1"/>
  <c r="D7" i="9" s="1"/>
  <c r="O6" i="9"/>
  <c r="N6" i="9"/>
  <c r="E6" i="9"/>
  <c r="F6" i="9" s="1"/>
  <c r="G6" i="9" s="1"/>
  <c r="B6" i="9"/>
  <c r="C6" i="9" s="1"/>
  <c r="D6" i="9" s="1"/>
  <c r="O5" i="9"/>
  <c r="N5" i="9"/>
  <c r="K5" i="9"/>
  <c r="L5" i="9" s="1"/>
  <c r="M5" i="9" s="1"/>
  <c r="E5" i="9"/>
  <c r="F5" i="9" s="1"/>
  <c r="G5" i="9" s="1"/>
  <c r="B5" i="9"/>
  <c r="C5" i="9" s="1"/>
  <c r="D5" i="9" s="1"/>
  <c r="O4" i="9"/>
  <c r="N4" i="9"/>
  <c r="K4" i="9"/>
  <c r="L4" i="9" s="1"/>
  <c r="M4" i="9" s="1"/>
  <c r="E4" i="9"/>
  <c r="F4" i="9" s="1"/>
  <c r="G4" i="9" s="1"/>
  <c r="B4" i="9"/>
  <c r="C4" i="9" s="1"/>
  <c r="D4" i="9" s="1"/>
  <c r="O23" i="6"/>
  <c r="K23" i="6"/>
  <c r="B23" i="6"/>
  <c r="R19" i="6"/>
  <c r="E31" i="6"/>
  <c r="B31" i="6"/>
  <c r="R30" i="6"/>
  <c r="O30" i="6"/>
  <c r="N30" i="6"/>
  <c r="K30" i="6"/>
  <c r="H30" i="6"/>
  <c r="E30" i="6"/>
  <c r="B30" i="6"/>
  <c r="O29" i="6"/>
  <c r="B29" i="6"/>
  <c r="F29" i="6"/>
  <c r="G29" i="6" s="1"/>
  <c r="I29" i="6"/>
  <c r="J29" i="6" s="1"/>
  <c r="L29" i="6"/>
  <c r="M29" i="6"/>
  <c r="C29" i="6"/>
  <c r="D29" i="6" s="1"/>
  <c r="Q27" i="9"/>
  <c r="P3" i="9"/>
  <c r="O3" i="9"/>
  <c r="N3" i="9"/>
  <c r="K3" i="9"/>
  <c r="L3" i="9" s="1"/>
  <c r="M3" i="9" s="1"/>
  <c r="I3" i="9"/>
  <c r="J3" i="9" s="1"/>
  <c r="E3" i="9"/>
  <c r="F3" i="9" s="1"/>
  <c r="G3" i="9" s="1"/>
  <c r="B3" i="9"/>
  <c r="C3" i="9" s="1"/>
  <c r="D3" i="9" s="1"/>
  <c r="I26" i="9"/>
  <c r="J26" i="9" s="1"/>
  <c r="L25" i="9"/>
  <c r="M25" i="9" s="1"/>
  <c r="I24" i="9"/>
  <c r="J24" i="9" s="1"/>
  <c r="L23" i="9"/>
  <c r="M23" i="9" s="1"/>
  <c r="I23" i="9"/>
  <c r="J23" i="9" s="1"/>
  <c r="L22" i="9"/>
  <c r="M22" i="9" s="1"/>
  <c r="I22" i="9"/>
  <c r="J22" i="9" s="1"/>
  <c r="F22" i="9"/>
  <c r="G22" i="9" s="1"/>
  <c r="I21" i="9"/>
  <c r="J21" i="9" s="1"/>
  <c r="L20" i="9"/>
  <c r="M20" i="9" s="1"/>
  <c r="I20" i="9"/>
  <c r="J20" i="9" s="1"/>
  <c r="L19" i="9"/>
  <c r="M19" i="9" s="1"/>
  <c r="I19" i="9"/>
  <c r="J19" i="9" s="1"/>
  <c r="F18" i="9"/>
  <c r="G18" i="9" s="1"/>
  <c r="L15" i="9"/>
  <c r="M15" i="9" s="1"/>
  <c r="I14" i="9"/>
  <c r="J14" i="9" s="1"/>
  <c r="L12" i="9"/>
  <c r="M12" i="9" s="1"/>
  <c r="I12" i="9"/>
  <c r="J12" i="9" s="1"/>
  <c r="I11" i="9"/>
  <c r="J11" i="9" s="1"/>
  <c r="I10" i="9"/>
  <c r="J10" i="9" s="1"/>
  <c r="L9" i="9"/>
  <c r="M9" i="9" s="1"/>
  <c r="I9" i="9"/>
  <c r="J9" i="9" s="1"/>
  <c r="L8" i="9"/>
  <c r="M8" i="9" s="1"/>
  <c r="I8" i="9"/>
  <c r="J8" i="9" s="1"/>
  <c r="F8" i="9"/>
  <c r="G8" i="9" s="1"/>
  <c r="I7" i="9"/>
  <c r="J7" i="9" s="1"/>
  <c r="L6" i="9"/>
  <c r="M6" i="9" s="1"/>
  <c r="I6" i="9"/>
  <c r="J6" i="9" s="1"/>
  <c r="I5" i="9"/>
  <c r="J5" i="9" s="1"/>
  <c r="O28" i="6"/>
  <c r="N28" i="6"/>
  <c r="E28" i="6"/>
  <c r="B28" i="6"/>
  <c r="O27" i="6"/>
  <c r="O26" i="6"/>
  <c r="O25" i="6"/>
  <c r="B25" i="6"/>
  <c r="E25" i="6"/>
  <c r="P25" i="6"/>
  <c r="N25" i="6"/>
  <c r="K25" i="6"/>
  <c r="N24" i="6"/>
  <c r="O24" i="6"/>
  <c r="K24" i="6"/>
  <c r="H24" i="6"/>
  <c r="E24" i="6"/>
  <c r="B24" i="6"/>
  <c r="E23" i="6"/>
  <c r="O22" i="6"/>
  <c r="N22" i="6"/>
  <c r="E22" i="6"/>
  <c r="B22" i="6"/>
  <c r="E30" i="11" l="1"/>
  <c r="R30" i="11"/>
  <c r="B30" i="11"/>
  <c r="N30" i="11"/>
  <c r="H30" i="11"/>
  <c r="O30" i="11"/>
  <c r="I4" i="11"/>
  <c r="J4" i="11" s="1"/>
  <c r="F9" i="11"/>
  <c r="G9" i="11" s="1"/>
  <c r="C11" i="11"/>
  <c r="D11" i="11" s="1"/>
  <c r="K30" i="11"/>
  <c r="I8" i="11"/>
  <c r="J8" i="11" s="1"/>
  <c r="P30" i="10"/>
  <c r="R30" i="10"/>
  <c r="N30" i="10"/>
  <c r="K30" i="10"/>
  <c r="H30" i="10"/>
  <c r="O30" i="10"/>
  <c r="L3" i="10"/>
  <c r="M3" i="10" s="1"/>
  <c r="B30" i="10"/>
  <c r="E30" i="10"/>
  <c r="I15" i="10"/>
  <c r="J15" i="10" s="1"/>
  <c r="R27" i="9"/>
  <c r="H27" i="9"/>
  <c r="P27" i="9"/>
  <c r="O27" i="9"/>
  <c r="N27" i="9"/>
  <c r="B27" i="9"/>
  <c r="E27" i="9"/>
  <c r="I4" i="9"/>
  <c r="J4" i="9" s="1"/>
  <c r="K27" i="9"/>
  <c r="O19" i="6"/>
  <c r="N19" i="6"/>
  <c r="E19" i="6"/>
  <c r="F19" i="6" s="1"/>
  <c r="G19" i="6" s="1"/>
  <c r="L19" i="6"/>
  <c r="M19" i="6" s="1"/>
  <c r="I19" i="6"/>
  <c r="J19" i="6" s="1"/>
  <c r="B19" i="6"/>
  <c r="C19" i="6" s="1"/>
  <c r="D19" i="6" s="1"/>
  <c r="O21" i="6"/>
  <c r="N21" i="6"/>
  <c r="K21" i="6"/>
  <c r="H21" i="6"/>
  <c r="E21" i="6"/>
  <c r="B21" i="6"/>
  <c r="O18" i="6" l="1"/>
  <c r="N18" i="6"/>
  <c r="K18" i="6"/>
  <c r="E18" i="6"/>
  <c r="B18" i="6"/>
  <c r="P17" i="6"/>
  <c r="O17" i="6"/>
  <c r="N17" i="6"/>
  <c r="K17" i="6"/>
  <c r="H17" i="6"/>
  <c r="E17" i="6"/>
  <c r="B17" i="6"/>
  <c r="O16" i="6"/>
  <c r="N16" i="6"/>
  <c r="K16" i="6"/>
  <c r="E16" i="6"/>
  <c r="B16" i="6"/>
  <c r="O15" i="6" l="1"/>
  <c r="K15" i="6"/>
  <c r="E15" i="6"/>
  <c r="B15" i="6"/>
  <c r="O14" i="6"/>
  <c r="K14" i="6"/>
  <c r="E14" i="6"/>
  <c r="B14" i="6"/>
  <c r="R13" i="6"/>
  <c r="O13" i="6"/>
  <c r="N13" i="6"/>
  <c r="K13" i="6"/>
  <c r="E13" i="6"/>
  <c r="B13" i="6"/>
  <c r="C27" i="6"/>
  <c r="D27" i="6" s="1"/>
  <c r="F27" i="6"/>
  <c r="G27" i="6" s="1"/>
  <c r="I27" i="6"/>
  <c r="J27" i="6" s="1"/>
  <c r="L27" i="6"/>
  <c r="M27" i="6" s="1"/>
  <c r="C28" i="6"/>
  <c r="D28" i="6" s="1"/>
  <c r="F28" i="6"/>
  <c r="G28" i="6"/>
  <c r="I28" i="6"/>
  <c r="J28" i="6" s="1"/>
  <c r="L28" i="6"/>
  <c r="M28" i="6" s="1"/>
  <c r="P12" i="6" l="1"/>
  <c r="O12" i="6"/>
  <c r="N12" i="6"/>
  <c r="K12" i="6"/>
  <c r="H12" i="6"/>
  <c r="E12" i="6"/>
  <c r="B12" i="6"/>
  <c r="R11" i="6"/>
  <c r="O11" i="6"/>
  <c r="N11" i="6"/>
  <c r="K11" i="6"/>
  <c r="E11" i="6"/>
  <c r="B11" i="6"/>
  <c r="O10" i="6"/>
  <c r="N10" i="6"/>
  <c r="K10" i="6"/>
  <c r="E10" i="6"/>
  <c r="B10" i="6"/>
  <c r="O9" i="6" l="1"/>
  <c r="K9" i="6"/>
  <c r="E9" i="6"/>
  <c r="B9" i="6"/>
  <c r="O7" i="6"/>
  <c r="R7" i="6"/>
  <c r="N7" i="6"/>
  <c r="E7" i="6"/>
  <c r="B7" i="6"/>
  <c r="U33" i="4" l="1"/>
  <c r="V9" i="4"/>
  <c r="V16" i="4"/>
  <c r="V23" i="4"/>
  <c r="V30" i="4"/>
  <c r="P6" i="6" l="1"/>
  <c r="O6" i="6"/>
  <c r="N6" i="6"/>
  <c r="K6" i="6"/>
  <c r="E6" i="6"/>
  <c r="B6" i="6"/>
  <c r="O5" i="6"/>
  <c r="N5" i="6"/>
  <c r="K5" i="6"/>
  <c r="E5" i="6"/>
  <c r="B5" i="6"/>
  <c r="O4" i="6"/>
  <c r="N4" i="6"/>
  <c r="K4" i="6"/>
  <c r="H4" i="6"/>
  <c r="E4" i="6"/>
  <c r="B4" i="6"/>
  <c r="O3" i="6" l="1"/>
  <c r="O31" i="6" s="1"/>
  <c r="P3" i="6"/>
  <c r="P31" i="6" s="1"/>
  <c r="N3" i="6"/>
  <c r="N31" i="6" s="1"/>
  <c r="K3" i="6"/>
  <c r="K31" i="6" s="1"/>
  <c r="E3" i="6"/>
  <c r="B3" i="6"/>
  <c r="R31" i="6"/>
  <c r="Q31" i="6"/>
  <c r="L30" i="6"/>
  <c r="M30" i="6" s="1"/>
  <c r="I30" i="6"/>
  <c r="J30" i="6" s="1"/>
  <c r="F30" i="6"/>
  <c r="G30" i="6" s="1"/>
  <c r="C30" i="6"/>
  <c r="D30" i="6" s="1"/>
  <c r="L26" i="6"/>
  <c r="M26" i="6" s="1"/>
  <c r="I26" i="6"/>
  <c r="J26" i="6" s="1"/>
  <c r="F26" i="6"/>
  <c r="G26" i="6" s="1"/>
  <c r="C26" i="6"/>
  <c r="D26" i="6" s="1"/>
  <c r="L25" i="6"/>
  <c r="M25" i="6" s="1"/>
  <c r="I25" i="6"/>
  <c r="J25" i="6" s="1"/>
  <c r="F25" i="6"/>
  <c r="G25" i="6" s="1"/>
  <c r="C25" i="6"/>
  <c r="D25" i="6" s="1"/>
  <c r="L24" i="6"/>
  <c r="M24" i="6" s="1"/>
  <c r="I24" i="6"/>
  <c r="J24" i="6" s="1"/>
  <c r="F24" i="6"/>
  <c r="G24" i="6" s="1"/>
  <c r="C24" i="6"/>
  <c r="D24" i="6" s="1"/>
  <c r="L23" i="6"/>
  <c r="M23" i="6" s="1"/>
  <c r="I23" i="6"/>
  <c r="J23" i="6" s="1"/>
  <c r="F23" i="6"/>
  <c r="G23" i="6" s="1"/>
  <c r="C23" i="6"/>
  <c r="D23" i="6" s="1"/>
  <c r="L22" i="6"/>
  <c r="M22" i="6" s="1"/>
  <c r="I22" i="6"/>
  <c r="J22" i="6" s="1"/>
  <c r="F22" i="6"/>
  <c r="G22" i="6" s="1"/>
  <c r="C22" i="6"/>
  <c r="D22" i="6" s="1"/>
  <c r="L21" i="6"/>
  <c r="M21" i="6" s="1"/>
  <c r="F21" i="6"/>
  <c r="G21" i="6" s="1"/>
  <c r="C21" i="6"/>
  <c r="D21" i="6" s="1"/>
  <c r="L20" i="6"/>
  <c r="M20" i="6" s="1"/>
  <c r="I20" i="6"/>
  <c r="J20" i="6" s="1"/>
  <c r="F20" i="6"/>
  <c r="G20" i="6" s="1"/>
  <c r="C20" i="6"/>
  <c r="D20" i="6" s="1"/>
  <c r="L18" i="6"/>
  <c r="M18" i="6" s="1"/>
  <c r="I18" i="6"/>
  <c r="J18" i="6" s="1"/>
  <c r="F18" i="6"/>
  <c r="G18" i="6" s="1"/>
  <c r="C18" i="6"/>
  <c r="D18" i="6" s="1"/>
  <c r="L17" i="6"/>
  <c r="M17" i="6" s="1"/>
  <c r="I17" i="6"/>
  <c r="J17" i="6" s="1"/>
  <c r="F17" i="6"/>
  <c r="G17" i="6" s="1"/>
  <c r="C17" i="6"/>
  <c r="D17" i="6" s="1"/>
  <c r="L16" i="6"/>
  <c r="M16" i="6" s="1"/>
  <c r="I16" i="6"/>
  <c r="J16" i="6" s="1"/>
  <c r="F16" i="6"/>
  <c r="G16" i="6" s="1"/>
  <c r="C16" i="6"/>
  <c r="D16" i="6" s="1"/>
  <c r="L15" i="6"/>
  <c r="M15" i="6" s="1"/>
  <c r="I15" i="6"/>
  <c r="J15" i="6" s="1"/>
  <c r="F15" i="6"/>
  <c r="G15" i="6" s="1"/>
  <c r="C15" i="6"/>
  <c r="D15" i="6" s="1"/>
  <c r="L14" i="6"/>
  <c r="M14" i="6" s="1"/>
  <c r="I14" i="6"/>
  <c r="J14" i="6" s="1"/>
  <c r="F14" i="6"/>
  <c r="G14" i="6" s="1"/>
  <c r="C14" i="6"/>
  <c r="D14" i="6" s="1"/>
  <c r="L13" i="6"/>
  <c r="M13" i="6" s="1"/>
  <c r="I13" i="6"/>
  <c r="J13" i="6" s="1"/>
  <c r="F13" i="6"/>
  <c r="G13" i="6" s="1"/>
  <c r="C13" i="6"/>
  <c r="D13" i="6" s="1"/>
  <c r="L12" i="6"/>
  <c r="M12" i="6" s="1"/>
  <c r="I12" i="6"/>
  <c r="J12" i="6" s="1"/>
  <c r="F12" i="6"/>
  <c r="G12" i="6" s="1"/>
  <c r="C12" i="6"/>
  <c r="D12" i="6" s="1"/>
  <c r="L11" i="6"/>
  <c r="M11" i="6" s="1"/>
  <c r="I11" i="6"/>
  <c r="J11" i="6" s="1"/>
  <c r="F11" i="6"/>
  <c r="G11" i="6" s="1"/>
  <c r="C11" i="6"/>
  <c r="D11" i="6" s="1"/>
  <c r="L10" i="6"/>
  <c r="M10" i="6" s="1"/>
  <c r="I10" i="6"/>
  <c r="J10" i="6" s="1"/>
  <c r="F10" i="6"/>
  <c r="G10" i="6" s="1"/>
  <c r="C10" i="6"/>
  <c r="D10" i="6" s="1"/>
  <c r="I9" i="6"/>
  <c r="J9" i="6" s="1"/>
  <c r="F9" i="6"/>
  <c r="G9" i="6" s="1"/>
  <c r="C9" i="6"/>
  <c r="D9" i="6" s="1"/>
  <c r="L8" i="6"/>
  <c r="M8" i="6" s="1"/>
  <c r="I8" i="6"/>
  <c r="J8" i="6" s="1"/>
  <c r="F8" i="6"/>
  <c r="G8" i="6" s="1"/>
  <c r="C8" i="6"/>
  <c r="D8" i="6" s="1"/>
  <c r="L7" i="6"/>
  <c r="M7" i="6" s="1"/>
  <c r="I7" i="6"/>
  <c r="J7" i="6" s="1"/>
  <c r="F7" i="6"/>
  <c r="G7" i="6" s="1"/>
  <c r="C7" i="6"/>
  <c r="D7" i="6" s="1"/>
  <c r="L6" i="6"/>
  <c r="M6" i="6" s="1"/>
  <c r="I6" i="6"/>
  <c r="J6" i="6" s="1"/>
  <c r="F6" i="6"/>
  <c r="G6" i="6" s="1"/>
  <c r="C6" i="6"/>
  <c r="D6" i="6" s="1"/>
  <c r="L5" i="6"/>
  <c r="M5" i="6" s="1"/>
  <c r="I5" i="6"/>
  <c r="J5" i="6" s="1"/>
  <c r="F5" i="6"/>
  <c r="G5" i="6" s="1"/>
  <c r="C5" i="6"/>
  <c r="D5" i="6" s="1"/>
  <c r="L4" i="6"/>
  <c r="M4" i="6" s="1"/>
  <c r="I4" i="6"/>
  <c r="J4" i="6" s="1"/>
  <c r="F4" i="6"/>
  <c r="G4" i="6" s="1"/>
  <c r="C4" i="6"/>
  <c r="D4" i="6" s="1"/>
  <c r="I3" i="6"/>
  <c r="J3" i="6" s="1"/>
  <c r="L3" i="6" l="1"/>
  <c r="M3" i="6" s="1"/>
  <c r="L9" i="6"/>
  <c r="M9" i="6" s="1"/>
  <c r="C3" i="6"/>
  <c r="D3" i="6" s="1"/>
  <c r="F3" i="6"/>
  <c r="G3" i="6" s="1"/>
  <c r="H31" i="6"/>
  <c r="I21" i="6"/>
  <c r="J21" i="6" s="1"/>
  <c r="P32" i="4"/>
  <c r="O32" i="4"/>
  <c r="N32" i="4"/>
  <c r="V32" i="4" s="1"/>
  <c r="K32" i="4"/>
  <c r="H32" i="4"/>
  <c r="E32" i="4"/>
  <c r="B32" i="4"/>
  <c r="O31" i="4" l="1"/>
  <c r="N31" i="4"/>
  <c r="V31" i="4" s="1"/>
  <c r="E31" i="4"/>
  <c r="B31" i="4"/>
  <c r="P29" i="4" l="1"/>
  <c r="O29" i="4"/>
  <c r="N29" i="4"/>
  <c r="V29" i="4" s="1"/>
  <c r="K29" i="4"/>
  <c r="H29" i="4"/>
  <c r="E29" i="4"/>
  <c r="B29" i="4"/>
  <c r="O28" i="4"/>
  <c r="N28" i="4"/>
  <c r="V28" i="4" s="1"/>
  <c r="K28" i="4"/>
  <c r="E28" i="4"/>
  <c r="B28" i="4"/>
  <c r="O27" i="4" l="1"/>
  <c r="N27" i="4"/>
  <c r="V27" i="4" s="1"/>
  <c r="K27" i="4"/>
  <c r="E27" i="4"/>
  <c r="B27" i="4"/>
  <c r="O26" i="4"/>
  <c r="N26" i="4"/>
  <c r="V26" i="4" s="1"/>
  <c r="K26" i="4"/>
  <c r="E26" i="4"/>
  <c r="B26" i="4"/>
  <c r="O25" i="4" l="1"/>
  <c r="N25" i="4"/>
  <c r="V25" i="4" s="1"/>
  <c r="K25" i="4"/>
  <c r="H25" i="4"/>
  <c r="E25" i="4"/>
  <c r="B25" i="4"/>
  <c r="O24" i="4"/>
  <c r="N24" i="4"/>
  <c r="V24" i="4" s="1"/>
  <c r="K24" i="4"/>
  <c r="H24" i="4"/>
  <c r="E24" i="4"/>
  <c r="B24" i="4"/>
  <c r="P22" i="4" l="1"/>
  <c r="O22" i="4"/>
  <c r="N22" i="4"/>
  <c r="V22" i="4" s="1"/>
  <c r="K22" i="4"/>
  <c r="E22" i="4"/>
  <c r="B22" i="4"/>
  <c r="O21" i="4"/>
  <c r="P21" i="4"/>
  <c r="N21" i="4"/>
  <c r="V21" i="4" s="1"/>
  <c r="K21" i="4"/>
  <c r="E21" i="4"/>
  <c r="B21" i="4"/>
  <c r="O20" i="4"/>
  <c r="N20" i="4"/>
  <c r="K20" i="4"/>
  <c r="E20" i="4"/>
  <c r="B20" i="4"/>
  <c r="V20" i="4" l="1"/>
  <c r="R19" i="4"/>
  <c r="O19" i="4"/>
  <c r="N19" i="4"/>
  <c r="V19" i="4" s="1"/>
  <c r="K19" i="4"/>
  <c r="E19" i="4"/>
  <c r="B19" i="4"/>
  <c r="O18" i="4" l="1"/>
  <c r="N18" i="4"/>
  <c r="V18" i="4" s="1"/>
  <c r="K18" i="4"/>
  <c r="E18" i="4"/>
  <c r="B18" i="4"/>
  <c r="O17" i="4" l="1"/>
  <c r="N17" i="4"/>
  <c r="V17" i="4" s="1"/>
  <c r="K17" i="4"/>
  <c r="E17" i="4"/>
  <c r="B17" i="4"/>
  <c r="R15" i="4" l="1"/>
  <c r="O15" i="4"/>
  <c r="N15" i="4"/>
  <c r="K15" i="4"/>
  <c r="E15" i="4"/>
  <c r="B15" i="4"/>
  <c r="O14" i="4"/>
  <c r="V14" i="4" s="1"/>
  <c r="E14" i="4"/>
  <c r="B14" i="4"/>
  <c r="O13" i="4"/>
  <c r="N13" i="4"/>
  <c r="V13" i="4" s="1"/>
  <c r="E13" i="4"/>
  <c r="B13" i="4"/>
  <c r="V15" i="4" l="1"/>
  <c r="O12" i="4"/>
  <c r="V12" i="4" s="1"/>
  <c r="K12" i="4"/>
  <c r="E12" i="4"/>
  <c r="B12" i="4"/>
  <c r="O11" i="4"/>
  <c r="N11" i="4"/>
  <c r="V11" i="4" s="1"/>
  <c r="K11" i="4"/>
  <c r="E11" i="4"/>
  <c r="B11" i="4"/>
  <c r="O10" i="4"/>
  <c r="V10" i="4" s="1"/>
  <c r="B10" i="4"/>
  <c r="P7" i="4" l="1"/>
  <c r="P33" i="4" s="1"/>
  <c r="O8" i="4"/>
  <c r="R8" i="4"/>
  <c r="N8" i="4"/>
  <c r="V8" i="4" s="1"/>
  <c r="B8" i="4"/>
  <c r="C8" i="4" s="1"/>
  <c r="D8" i="4" s="1"/>
  <c r="O7" i="4"/>
  <c r="N7" i="4"/>
  <c r="V7" i="4" s="1"/>
  <c r="B7" i="4"/>
  <c r="C7" i="4" s="1"/>
  <c r="D7" i="4" s="1"/>
  <c r="B6" i="4"/>
  <c r="O6" i="4"/>
  <c r="N6" i="4"/>
  <c r="V6" i="4" s="1"/>
  <c r="C6" i="4"/>
  <c r="D6" i="4" s="1"/>
  <c r="O5" i="4"/>
  <c r="V5" i="4" s="1"/>
  <c r="B5" i="4"/>
  <c r="C5" i="4" s="1"/>
  <c r="D5" i="4" s="1"/>
  <c r="O4" i="4"/>
  <c r="N4" i="4"/>
  <c r="V4" i="4" s="1"/>
  <c r="B4" i="4"/>
  <c r="C4" i="4" s="1"/>
  <c r="D4" i="4" s="1"/>
  <c r="R3" i="4"/>
  <c r="O3" i="4"/>
  <c r="N3" i="4"/>
  <c r="V3" i="4" s="1"/>
  <c r="E3" i="4"/>
  <c r="F3" i="4" s="1"/>
  <c r="G3" i="4" s="1"/>
  <c r="B3" i="4"/>
  <c r="Q33" i="4"/>
  <c r="K33" i="4"/>
  <c r="L32" i="4"/>
  <c r="M32" i="4" s="1"/>
  <c r="I32" i="4"/>
  <c r="J32" i="4" s="1"/>
  <c r="F32" i="4"/>
  <c r="G32" i="4" s="1"/>
  <c r="C32" i="4"/>
  <c r="D32" i="4" s="1"/>
  <c r="L31" i="4"/>
  <c r="M31" i="4" s="1"/>
  <c r="I31" i="4"/>
  <c r="J31" i="4" s="1"/>
  <c r="F31" i="4"/>
  <c r="G31" i="4" s="1"/>
  <c r="C31" i="4"/>
  <c r="D31" i="4" s="1"/>
  <c r="L29" i="4"/>
  <c r="M29" i="4" s="1"/>
  <c r="I29" i="4"/>
  <c r="J29" i="4" s="1"/>
  <c r="F29" i="4"/>
  <c r="G29" i="4" s="1"/>
  <c r="C29" i="4"/>
  <c r="D29" i="4" s="1"/>
  <c r="L28" i="4"/>
  <c r="M28" i="4" s="1"/>
  <c r="I28" i="4"/>
  <c r="J28" i="4" s="1"/>
  <c r="F28" i="4"/>
  <c r="G28" i="4" s="1"/>
  <c r="C28" i="4"/>
  <c r="D28" i="4" s="1"/>
  <c r="L27" i="4"/>
  <c r="M27" i="4" s="1"/>
  <c r="I27" i="4"/>
  <c r="J27" i="4" s="1"/>
  <c r="F27" i="4"/>
  <c r="G27" i="4" s="1"/>
  <c r="C27" i="4"/>
  <c r="D27" i="4" s="1"/>
  <c r="L26" i="4"/>
  <c r="M26" i="4" s="1"/>
  <c r="I26" i="4"/>
  <c r="J26" i="4" s="1"/>
  <c r="F26" i="4"/>
  <c r="G26" i="4" s="1"/>
  <c r="C26" i="4"/>
  <c r="D26" i="4" s="1"/>
  <c r="L25" i="4"/>
  <c r="M25" i="4" s="1"/>
  <c r="I25" i="4"/>
  <c r="J25" i="4" s="1"/>
  <c r="F25" i="4"/>
  <c r="G25" i="4" s="1"/>
  <c r="C25" i="4"/>
  <c r="D25" i="4" s="1"/>
  <c r="L24" i="4"/>
  <c r="M24" i="4" s="1"/>
  <c r="I24" i="4"/>
  <c r="J24" i="4" s="1"/>
  <c r="F24" i="4"/>
  <c r="G24" i="4" s="1"/>
  <c r="C24" i="4"/>
  <c r="D24" i="4" s="1"/>
  <c r="L22" i="4"/>
  <c r="M22" i="4" s="1"/>
  <c r="I22" i="4"/>
  <c r="J22" i="4" s="1"/>
  <c r="F22" i="4"/>
  <c r="G22" i="4" s="1"/>
  <c r="C22" i="4"/>
  <c r="D22" i="4" s="1"/>
  <c r="L21" i="4"/>
  <c r="M21" i="4" s="1"/>
  <c r="I21" i="4"/>
  <c r="J21" i="4" s="1"/>
  <c r="F21" i="4"/>
  <c r="G21" i="4" s="1"/>
  <c r="C21" i="4"/>
  <c r="D21" i="4" s="1"/>
  <c r="L20" i="4"/>
  <c r="M20" i="4" s="1"/>
  <c r="I20" i="4"/>
  <c r="J20" i="4" s="1"/>
  <c r="F20" i="4"/>
  <c r="G20" i="4" s="1"/>
  <c r="C20" i="4"/>
  <c r="D20" i="4" s="1"/>
  <c r="L19" i="4"/>
  <c r="M19" i="4" s="1"/>
  <c r="I19" i="4"/>
  <c r="J19" i="4" s="1"/>
  <c r="F19" i="4"/>
  <c r="G19" i="4" s="1"/>
  <c r="C19" i="4"/>
  <c r="D19" i="4" s="1"/>
  <c r="L18" i="4"/>
  <c r="M18" i="4" s="1"/>
  <c r="I18" i="4"/>
  <c r="J18" i="4" s="1"/>
  <c r="F18" i="4"/>
  <c r="G18" i="4" s="1"/>
  <c r="C18" i="4"/>
  <c r="D18" i="4" s="1"/>
  <c r="L17" i="4"/>
  <c r="M17" i="4" s="1"/>
  <c r="I17" i="4"/>
  <c r="J17" i="4" s="1"/>
  <c r="F17" i="4"/>
  <c r="G17" i="4" s="1"/>
  <c r="C17" i="4"/>
  <c r="D17" i="4" s="1"/>
  <c r="L15" i="4"/>
  <c r="M15" i="4" s="1"/>
  <c r="I15" i="4"/>
  <c r="J15" i="4" s="1"/>
  <c r="F15" i="4"/>
  <c r="G15" i="4" s="1"/>
  <c r="C15" i="4"/>
  <c r="D15" i="4" s="1"/>
  <c r="L14" i="4"/>
  <c r="M14" i="4" s="1"/>
  <c r="I14" i="4"/>
  <c r="J14" i="4" s="1"/>
  <c r="F14" i="4"/>
  <c r="G14" i="4" s="1"/>
  <c r="C14" i="4"/>
  <c r="D14" i="4" s="1"/>
  <c r="L13" i="4"/>
  <c r="M13" i="4" s="1"/>
  <c r="I13" i="4"/>
  <c r="J13" i="4" s="1"/>
  <c r="F13" i="4"/>
  <c r="G13" i="4" s="1"/>
  <c r="C13" i="4"/>
  <c r="D13" i="4" s="1"/>
  <c r="L12" i="4"/>
  <c r="M12" i="4" s="1"/>
  <c r="I12" i="4"/>
  <c r="J12" i="4" s="1"/>
  <c r="F12" i="4"/>
  <c r="G12" i="4" s="1"/>
  <c r="C12" i="4"/>
  <c r="D12" i="4" s="1"/>
  <c r="L11" i="4"/>
  <c r="M11" i="4" s="1"/>
  <c r="I11" i="4"/>
  <c r="J11" i="4" s="1"/>
  <c r="F11" i="4"/>
  <c r="G11" i="4" s="1"/>
  <c r="C11" i="4"/>
  <c r="D11" i="4" s="1"/>
  <c r="L10" i="4"/>
  <c r="M10" i="4" s="1"/>
  <c r="I10" i="4"/>
  <c r="J10" i="4" s="1"/>
  <c r="F10" i="4"/>
  <c r="G10" i="4" s="1"/>
  <c r="C10" i="4"/>
  <c r="D10" i="4" s="1"/>
  <c r="L8" i="4"/>
  <c r="M8" i="4" s="1"/>
  <c r="I8" i="4"/>
  <c r="J8" i="4" s="1"/>
  <c r="F8" i="4"/>
  <c r="G8" i="4" s="1"/>
  <c r="L7" i="4"/>
  <c r="M7" i="4" s="1"/>
  <c r="I7" i="4"/>
  <c r="J7" i="4" s="1"/>
  <c r="F7" i="4"/>
  <c r="G7" i="4" s="1"/>
  <c r="L6" i="4"/>
  <c r="M6" i="4" s="1"/>
  <c r="I6" i="4"/>
  <c r="J6" i="4" s="1"/>
  <c r="F6" i="4"/>
  <c r="G6" i="4" s="1"/>
  <c r="L5" i="4"/>
  <c r="M5" i="4" s="1"/>
  <c r="I5" i="4"/>
  <c r="J5" i="4" s="1"/>
  <c r="F5" i="4"/>
  <c r="G5" i="4" s="1"/>
  <c r="L4" i="4"/>
  <c r="M4" i="4" s="1"/>
  <c r="I4" i="4"/>
  <c r="J4" i="4" s="1"/>
  <c r="F4" i="4"/>
  <c r="G4" i="4" s="1"/>
  <c r="L3" i="4"/>
  <c r="M3" i="4" s="1"/>
  <c r="I3" i="4"/>
  <c r="J3" i="4" s="1"/>
  <c r="V33" i="4" l="1"/>
  <c r="R33" i="4"/>
  <c r="B33" i="4"/>
  <c r="C3" i="4"/>
  <c r="D3" i="4" s="1"/>
  <c r="N33" i="4"/>
  <c r="T33" i="4" s="1"/>
  <c r="O33" i="4"/>
  <c r="E33" i="4"/>
  <c r="H33" i="4"/>
  <c r="O33" i="3"/>
  <c r="P33" i="3"/>
  <c r="N33" i="3"/>
  <c r="E33" i="3"/>
  <c r="B33" i="3"/>
  <c r="O32" i="3"/>
  <c r="B32" i="3"/>
  <c r="R31" i="3"/>
  <c r="O31" i="3"/>
  <c r="E31" i="3"/>
  <c r="B31" i="3"/>
  <c r="O30" i="3"/>
  <c r="B30" i="3"/>
  <c r="O29" i="3" l="1"/>
  <c r="B29" i="3"/>
  <c r="O28" i="3" l="1"/>
  <c r="B28" i="3"/>
  <c r="O26" i="3" l="1"/>
  <c r="R27" i="3" l="1"/>
  <c r="O27" i="3"/>
  <c r="B27" i="3"/>
  <c r="R26" i="3"/>
  <c r="E26" i="3"/>
  <c r="B26" i="3"/>
  <c r="R25" i="3" l="1"/>
  <c r="O25" i="3"/>
  <c r="N25" i="3"/>
  <c r="B25" i="3"/>
  <c r="O24" i="3"/>
  <c r="R24" i="3"/>
  <c r="N24" i="3"/>
  <c r="E24" i="3"/>
  <c r="B24" i="3"/>
  <c r="O23" i="3"/>
  <c r="B23" i="3"/>
  <c r="O22" i="3" l="1"/>
  <c r="P22" i="3"/>
  <c r="R22" i="3" l="1"/>
  <c r="H22" i="3"/>
  <c r="E22" i="3"/>
  <c r="B22" i="3"/>
  <c r="R21" i="3" l="1"/>
  <c r="O21" i="3"/>
  <c r="E21" i="3"/>
  <c r="B21" i="3"/>
  <c r="O20" i="3" l="1"/>
  <c r="E20" i="3"/>
  <c r="B20" i="3"/>
  <c r="R19" i="3"/>
  <c r="O19" i="3"/>
  <c r="E19" i="3"/>
  <c r="B19" i="3"/>
  <c r="O18" i="3" l="1"/>
  <c r="R18" i="3"/>
  <c r="N18" i="3"/>
  <c r="E18" i="3"/>
  <c r="B18" i="3"/>
  <c r="O17" i="3"/>
  <c r="R17" i="3"/>
  <c r="N17" i="3"/>
  <c r="E17" i="3"/>
  <c r="B17" i="3"/>
  <c r="O16" i="3" l="1"/>
  <c r="E16" i="3"/>
  <c r="B16" i="3"/>
  <c r="R15" i="3" l="1"/>
  <c r="O15" i="3"/>
  <c r="E15" i="3"/>
  <c r="B15" i="3"/>
  <c r="R14" i="3" l="1"/>
  <c r="O14" i="3"/>
  <c r="E14" i="3"/>
  <c r="B14" i="3"/>
  <c r="O13" i="3" l="1"/>
  <c r="E13" i="3"/>
  <c r="B13" i="3"/>
  <c r="R12" i="3"/>
  <c r="O12" i="3"/>
  <c r="E12" i="3"/>
  <c r="B12" i="3"/>
  <c r="O11" i="3" l="1"/>
  <c r="N11" i="3"/>
  <c r="E11" i="3"/>
  <c r="B11" i="3"/>
  <c r="O10" i="3"/>
  <c r="N10" i="3"/>
  <c r="E10" i="3"/>
  <c r="B10" i="3"/>
  <c r="O9" i="3"/>
  <c r="H9" i="3"/>
  <c r="E9" i="3"/>
  <c r="B9" i="3"/>
  <c r="O8" i="3" l="1"/>
  <c r="E8" i="3" l="1"/>
  <c r="B8" i="3"/>
  <c r="O7" i="3" l="1"/>
  <c r="E7" i="3"/>
  <c r="B7" i="3"/>
  <c r="O6" i="3"/>
  <c r="N6" i="3"/>
  <c r="E6" i="3"/>
  <c r="B6" i="3"/>
  <c r="O5" i="3" l="1"/>
  <c r="E5" i="3"/>
  <c r="B5" i="3"/>
  <c r="O4" i="3"/>
  <c r="N4" i="3"/>
  <c r="E4" i="3"/>
  <c r="B4" i="3"/>
  <c r="O3" i="3"/>
  <c r="N3" i="3"/>
  <c r="E3" i="3"/>
  <c r="B3" i="3"/>
  <c r="C32" i="3" l="1"/>
  <c r="D32" i="3" s="1"/>
  <c r="F32" i="3"/>
  <c r="G32" i="3" s="1"/>
  <c r="I32" i="3"/>
  <c r="J32" i="3"/>
  <c r="L32" i="3"/>
  <c r="M32" i="3"/>
  <c r="C15" i="3"/>
  <c r="D15" i="3"/>
  <c r="F15" i="3"/>
  <c r="G15" i="3" s="1"/>
  <c r="I15" i="3"/>
  <c r="J15" i="3"/>
  <c r="L15" i="3"/>
  <c r="M15" i="3" s="1"/>
  <c r="C16" i="3"/>
  <c r="D16" i="3" s="1"/>
  <c r="F16" i="3"/>
  <c r="G16" i="3" s="1"/>
  <c r="I16" i="3"/>
  <c r="J16" i="3"/>
  <c r="L16" i="3"/>
  <c r="M16" i="3" s="1"/>
  <c r="C17" i="3"/>
  <c r="D17" i="3" s="1"/>
  <c r="F17" i="3"/>
  <c r="G17" i="3"/>
  <c r="I17" i="3"/>
  <c r="J17" i="3"/>
  <c r="L17" i="3"/>
  <c r="M17" i="3" s="1"/>
  <c r="C18" i="3"/>
  <c r="D18" i="3"/>
  <c r="F18" i="3"/>
  <c r="G18" i="3"/>
  <c r="I18" i="3"/>
  <c r="J18" i="3"/>
  <c r="L18" i="3"/>
  <c r="M18" i="3"/>
  <c r="C19" i="3"/>
  <c r="D19" i="3" s="1"/>
  <c r="F19" i="3"/>
  <c r="G19" i="3"/>
  <c r="I19" i="3"/>
  <c r="J19" i="3" s="1"/>
  <c r="L19" i="3"/>
  <c r="M19" i="3"/>
  <c r="C20" i="3"/>
  <c r="D20" i="3"/>
  <c r="F20" i="3"/>
  <c r="G20" i="3"/>
  <c r="I20" i="3"/>
  <c r="J20" i="3"/>
  <c r="L20" i="3"/>
  <c r="M20" i="3"/>
  <c r="Q34" i="3"/>
  <c r="B34" i="3"/>
  <c r="P34" i="3"/>
  <c r="L33" i="3"/>
  <c r="M33" i="3" s="1"/>
  <c r="I33" i="3"/>
  <c r="J33" i="3" s="1"/>
  <c r="F33" i="3"/>
  <c r="G33" i="3" s="1"/>
  <c r="C33" i="3"/>
  <c r="D33" i="3" s="1"/>
  <c r="L31" i="3"/>
  <c r="M31" i="3" s="1"/>
  <c r="H34" i="3"/>
  <c r="F31" i="3"/>
  <c r="G31" i="3" s="1"/>
  <c r="C31" i="3"/>
  <c r="D31" i="3" s="1"/>
  <c r="L30" i="3"/>
  <c r="M30" i="3" s="1"/>
  <c r="I30" i="3"/>
  <c r="J30" i="3" s="1"/>
  <c r="F30" i="3"/>
  <c r="G30" i="3" s="1"/>
  <c r="C30" i="3"/>
  <c r="D30" i="3" s="1"/>
  <c r="L29" i="3"/>
  <c r="M29" i="3" s="1"/>
  <c r="I29" i="3"/>
  <c r="J29" i="3" s="1"/>
  <c r="F29" i="3"/>
  <c r="G29" i="3" s="1"/>
  <c r="C29" i="3"/>
  <c r="D29" i="3" s="1"/>
  <c r="L28" i="3"/>
  <c r="M28" i="3" s="1"/>
  <c r="I28" i="3"/>
  <c r="J28" i="3" s="1"/>
  <c r="F28" i="3"/>
  <c r="G28" i="3" s="1"/>
  <c r="C28" i="3"/>
  <c r="D28" i="3" s="1"/>
  <c r="L27" i="3"/>
  <c r="M27" i="3" s="1"/>
  <c r="I27" i="3"/>
  <c r="J27" i="3" s="1"/>
  <c r="F27" i="3"/>
  <c r="G27" i="3" s="1"/>
  <c r="C27" i="3"/>
  <c r="D27" i="3" s="1"/>
  <c r="L26" i="3"/>
  <c r="M26" i="3" s="1"/>
  <c r="I26" i="3"/>
  <c r="J26" i="3" s="1"/>
  <c r="F26" i="3"/>
  <c r="G26" i="3" s="1"/>
  <c r="C26" i="3"/>
  <c r="D26" i="3" s="1"/>
  <c r="L25" i="3"/>
  <c r="M25" i="3" s="1"/>
  <c r="I25" i="3"/>
  <c r="J25" i="3" s="1"/>
  <c r="F25" i="3"/>
  <c r="G25" i="3" s="1"/>
  <c r="C25" i="3"/>
  <c r="D25" i="3" s="1"/>
  <c r="L24" i="3"/>
  <c r="M24" i="3" s="1"/>
  <c r="I24" i="3"/>
  <c r="J24" i="3" s="1"/>
  <c r="F24" i="3"/>
  <c r="G24" i="3" s="1"/>
  <c r="C24" i="3"/>
  <c r="D24" i="3" s="1"/>
  <c r="L23" i="3"/>
  <c r="M23" i="3" s="1"/>
  <c r="I23" i="3"/>
  <c r="J23" i="3" s="1"/>
  <c r="F23" i="3"/>
  <c r="G23" i="3" s="1"/>
  <c r="C23" i="3"/>
  <c r="D23" i="3" s="1"/>
  <c r="L22" i="3"/>
  <c r="M22" i="3" s="1"/>
  <c r="I22" i="3"/>
  <c r="J22" i="3" s="1"/>
  <c r="F22" i="3"/>
  <c r="G22" i="3" s="1"/>
  <c r="C22" i="3"/>
  <c r="D22" i="3" s="1"/>
  <c r="L21" i="3"/>
  <c r="M21" i="3" s="1"/>
  <c r="I21" i="3"/>
  <c r="J21" i="3" s="1"/>
  <c r="F21" i="3"/>
  <c r="G21" i="3" s="1"/>
  <c r="C21" i="3"/>
  <c r="D21" i="3" s="1"/>
  <c r="L14" i="3"/>
  <c r="M14" i="3" s="1"/>
  <c r="I14" i="3"/>
  <c r="J14" i="3" s="1"/>
  <c r="F14" i="3"/>
  <c r="G14" i="3" s="1"/>
  <c r="C14" i="3"/>
  <c r="D14" i="3" s="1"/>
  <c r="L13" i="3"/>
  <c r="M13" i="3" s="1"/>
  <c r="I13" i="3"/>
  <c r="J13" i="3" s="1"/>
  <c r="F13" i="3"/>
  <c r="G13" i="3" s="1"/>
  <c r="C13" i="3"/>
  <c r="D13" i="3" s="1"/>
  <c r="L12" i="3"/>
  <c r="M12" i="3" s="1"/>
  <c r="I12" i="3"/>
  <c r="J12" i="3" s="1"/>
  <c r="F12" i="3"/>
  <c r="G12" i="3" s="1"/>
  <c r="C12" i="3"/>
  <c r="D12" i="3" s="1"/>
  <c r="L11" i="3"/>
  <c r="M11" i="3" s="1"/>
  <c r="I11" i="3"/>
  <c r="J11" i="3" s="1"/>
  <c r="F11" i="3"/>
  <c r="G11" i="3" s="1"/>
  <c r="C11" i="3"/>
  <c r="D11" i="3" s="1"/>
  <c r="L10" i="3"/>
  <c r="M10" i="3" s="1"/>
  <c r="I10" i="3"/>
  <c r="J10" i="3" s="1"/>
  <c r="F10" i="3"/>
  <c r="G10" i="3" s="1"/>
  <c r="C10" i="3"/>
  <c r="D10" i="3" s="1"/>
  <c r="L9" i="3"/>
  <c r="M9" i="3" s="1"/>
  <c r="I9" i="3"/>
  <c r="J9" i="3" s="1"/>
  <c r="F9" i="3"/>
  <c r="G9" i="3" s="1"/>
  <c r="C9" i="3"/>
  <c r="D9" i="3" s="1"/>
  <c r="L8" i="3"/>
  <c r="M8" i="3" s="1"/>
  <c r="I8" i="3"/>
  <c r="J8" i="3" s="1"/>
  <c r="F8" i="3"/>
  <c r="G8" i="3" s="1"/>
  <c r="C8" i="3"/>
  <c r="D8" i="3" s="1"/>
  <c r="L7" i="3"/>
  <c r="M7" i="3" s="1"/>
  <c r="I7" i="3"/>
  <c r="J7" i="3" s="1"/>
  <c r="F7" i="3"/>
  <c r="G7" i="3" s="1"/>
  <c r="C7" i="3"/>
  <c r="D7" i="3" s="1"/>
  <c r="N34" i="3"/>
  <c r="L6" i="3"/>
  <c r="M6" i="3" s="1"/>
  <c r="I6" i="3"/>
  <c r="J6" i="3" s="1"/>
  <c r="F6" i="3"/>
  <c r="G6" i="3" s="1"/>
  <c r="C6" i="3"/>
  <c r="D6" i="3" s="1"/>
  <c r="O34" i="3"/>
  <c r="L5" i="3"/>
  <c r="M5" i="3" s="1"/>
  <c r="I5" i="3"/>
  <c r="J5" i="3" s="1"/>
  <c r="F5" i="3"/>
  <c r="G5" i="3" s="1"/>
  <c r="C5" i="3"/>
  <c r="D5" i="3" s="1"/>
  <c r="R34" i="3"/>
  <c r="L4" i="3"/>
  <c r="M4" i="3" s="1"/>
  <c r="I4" i="3"/>
  <c r="J4" i="3" s="1"/>
  <c r="F4" i="3"/>
  <c r="G4" i="3" s="1"/>
  <c r="C4" i="3"/>
  <c r="D4" i="3" s="1"/>
  <c r="K34" i="3"/>
  <c r="I3" i="3"/>
  <c r="J3" i="3" s="1"/>
  <c r="E34" i="3"/>
  <c r="C3" i="3"/>
  <c r="D3" i="3" s="1"/>
  <c r="F3" i="3" l="1"/>
  <c r="G3" i="3" s="1"/>
  <c r="I31" i="3"/>
  <c r="J31" i="3" s="1"/>
  <c r="L3" i="3"/>
  <c r="M3" i="3" s="1"/>
  <c r="P26" i="2"/>
  <c r="O26" i="2"/>
  <c r="K26" i="2"/>
  <c r="H26" i="2"/>
  <c r="E26" i="2"/>
  <c r="B26" i="2"/>
  <c r="R25" i="2"/>
  <c r="O25" i="2"/>
  <c r="N25" i="2"/>
  <c r="K25" i="2"/>
  <c r="H25" i="2"/>
  <c r="E25" i="2"/>
  <c r="B25" i="2"/>
  <c r="O24" i="2" l="1"/>
  <c r="N24" i="2"/>
  <c r="K24" i="2"/>
  <c r="E24" i="2"/>
  <c r="B24" i="2"/>
  <c r="O23" i="2" l="1"/>
  <c r="N23" i="2"/>
  <c r="K23" i="2"/>
  <c r="E23" i="2"/>
  <c r="B23" i="2"/>
  <c r="R22" i="2" l="1"/>
  <c r="O22" i="2"/>
  <c r="N22" i="2"/>
  <c r="K22" i="2"/>
  <c r="E22" i="2"/>
  <c r="B22" i="2"/>
  <c r="O21" i="2"/>
  <c r="N21" i="2"/>
  <c r="K21" i="2"/>
  <c r="E21" i="2"/>
  <c r="B21" i="2"/>
  <c r="O20" i="2" l="1"/>
  <c r="N20" i="2"/>
  <c r="K20" i="2"/>
  <c r="B20" i="2"/>
  <c r="O19" i="2"/>
  <c r="B19" i="2"/>
  <c r="O18" i="2"/>
  <c r="N18" i="2"/>
  <c r="K18" i="2"/>
  <c r="E18" i="2"/>
  <c r="B18" i="2"/>
  <c r="O17" i="2" l="1"/>
  <c r="K17" i="2"/>
  <c r="E17" i="2"/>
  <c r="B17" i="2"/>
  <c r="O16" i="2" l="1"/>
  <c r="N16" i="2"/>
  <c r="K16" i="2"/>
  <c r="E16" i="2"/>
  <c r="B16" i="2"/>
  <c r="O15" i="2"/>
  <c r="N15" i="2"/>
  <c r="K15" i="2"/>
  <c r="E15" i="2"/>
  <c r="B15" i="2"/>
  <c r="O14" i="2"/>
  <c r="N14" i="2"/>
  <c r="K14" i="2"/>
  <c r="E14" i="2"/>
  <c r="B14" i="2"/>
  <c r="O13" i="2"/>
  <c r="K13" i="2"/>
  <c r="E13" i="2"/>
  <c r="B13" i="2"/>
  <c r="O12" i="2" l="1"/>
  <c r="N12" i="2"/>
  <c r="K12" i="2"/>
  <c r="E12" i="2"/>
  <c r="B12" i="2"/>
  <c r="O11" i="2"/>
  <c r="B11" i="2"/>
  <c r="O10" i="2" l="1"/>
  <c r="N10" i="2"/>
  <c r="K10" i="2"/>
  <c r="E10" i="2"/>
  <c r="B10" i="2"/>
  <c r="R9" i="2"/>
  <c r="O9" i="2"/>
  <c r="K9" i="2"/>
  <c r="E9" i="2"/>
  <c r="B9" i="2"/>
  <c r="O8" i="2"/>
  <c r="K8" i="2"/>
  <c r="E8" i="2"/>
  <c r="B8" i="2"/>
  <c r="O7" i="2" l="1"/>
  <c r="K7" i="2"/>
  <c r="E7" i="2"/>
  <c r="B7" i="2"/>
  <c r="O6" i="2"/>
  <c r="N6" i="2"/>
  <c r="K6" i="2"/>
  <c r="E6" i="2"/>
  <c r="B6" i="2"/>
  <c r="R5" i="2" l="1"/>
  <c r="O5" i="2"/>
  <c r="K5" i="2"/>
  <c r="E5" i="2"/>
  <c r="B5" i="2"/>
  <c r="R4" i="2" l="1"/>
  <c r="O4" i="2"/>
  <c r="N4" i="2"/>
  <c r="K4" i="2"/>
  <c r="E4" i="2"/>
  <c r="B4" i="2"/>
  <c r="O3" i="2"/>
  <c r="N3" i="2"/>
  <c r="K3" i="2"/>
  <c r="E3" i="2"/>
  <c r="B3" i="2"/>
  <c r="Q27" i="2" l="1"/>
  <c r="P27" i="2"/>
  <c r="L26" i="2"/>
  <c r="M26" i="2" s="1"/>
  <c r="I26" i="2"/>
  <c r="J26" i="2" s="1"/>
  <c r="F26" i="2"/>
  <c r="G26" i="2" s="1"/>
  <c r="C26" i="2"/>
  <c r="D26" i="2" s="1"/>
  <c r="L25" i="2"/>
  <c r="M25" i="2" s="1"/>
  <c r="I25" i="2"/>
  <c r="J25" i="2" s="1"/>
  <c r="F25" i="2"/>
  <c r="G25" i="2" s="1"/>
  <c r="C25" i="2"/>
  <c r="D25" i="2" s="1"/>
  <c r="L24" i="2"/>
  <c r="M24" i="2" s="1"/>
  <c r="I24" i="2"/>
  <c r="J24" i="2" s="1"/>
  <c r="F24" i="2"/>
  <c r="G24" i="2" s="1"/>
  <c r="C24" i="2"/>
  <c r="D24" i="2" s="1"/>
  <c r="L23" i="2"/>
  <c r="M23" i="2" s="1"/>
  <c r="I23" i="2"/>
  <c r="J23" i="2" s="1"/>
  <c r="F23" i="2"/>
  <c r="G23" i="2" s="1"/>
  <c r="C23" i="2"/>
  <c r="D23" i="2" s="1"/>
  <c r="L22" i="2"/>
  <c r="M22" i="2" s="1"/>
  <c r="I22" i="2"/>
  <c r="J22" i="2" s="1"/>
  <c r="F22" i="2"/>
  <c r="G22" i="2" s="1"/>
  <c r="C22" i="2"/>
  <c r="D22" i="2" s="1"/>
  <c r="L21" i="2"/>
  <c r="M21" i="2" s="1"/>
  <c r="I21" i="2"/>
  <c r="J21" i="2" s="1"/>
  <c r="F21" i="2"/>
  <c r="G21" i="2" s="1"/>
  <c r="C21" i="2"/>
  <c r="D21" i="2" s="1"/>
  <c r="L20" i="2"/>
  <c r="M20" i="2" s="1"/>
  <c r="I20" i="2"/>
  <c r="J20" i="2" s="1"/>
  <c r="F20" i="2"/>
  <c r="G20" i="2" s="1"/>
  <c r="C20" i="2"/>
  <c r="D20" i="2" s="1"/>
  <c r="L19" i="2"/>
  <c r="M19" i="2" s="1"/>
  <c r="I19" i="2"/>
  <c r="J19" i="2" s="1"/>
  <c r="F19" i="2"/>
  <c r="G19" i="2" s="1"/>
  <c r="C19" i="2"/>
  <c r="D19" i="2" s="1"/>
  <c r="R27" i="2"/>
  <c r="L18" i="2"/>
  <c r="M18" i="2" s="1"/>
  <c r="I18" i="2"/>
  <c r="J18" i="2" s="1"/>
  <c r="F18" i="2"/>
  <c r="G18" i="2" s="1"/>
  <c r="C18" i="2"/>
  <c r="D18" i="2" s="1"/>
  <c r="L17" i="2"/>
  <c r="M17" i="2" s="1"/>
  <c r="I17" i="2"/>
  <c r="J17" i="2" s="1"/>
  <c r="F17" i="2"/>
  <c r="G17" i="2" s="1"/>
  <c r="C17" i="2"/>
  <c r="D17" i="2" s="1"/>
  <c r="L16" i="2"/>
  <c r="M16" i="2" s="1"/>
  <c r="I16" i="2"/>
  <c r="J16" i="2" s="1"/>
  <c r="F16" i="2"/>
  <c r="G16" i="2" s="1"/>
  <c r="C16" i="2"/>
  <c r="D16" i="2" s="1"/>
  <c r="L15" i="2"/>
  <c r="M15" i="2" s="1"/>
  <c r="I15" i="2"/>
  <c r="J15" i="2" s="1"/>
  <c r="F15" i="2"/>
  <c r="G15" i="2" s="1"/>
  <c r="C15" i="2"/>
  <c r="D15" i="2" s="1"/>
  <c r="L14" i="2"/>
  <c r="M14" i="2" s="1"/>
  <c r="I14" i="2"/>
  <c r="J14" i="2" s="1"/>
  <c r="F14" i="2"/>
  <c r="G14" i="2" s="1"/>
  <c r="C14" i="2"/>
  <c r="D14" i="2" s="1"/>
  <c r="L13" i="2"/>
  <c r="M13" i="2" s="1"/>
  <c r="I13" i="2"/>
  <c r="J13" i="2" s="1"/>
  <c r="F13" i="2"/>
  <c r="G13" i="2" s="1"/>
  <c r="C13" i="2"/>
  <c r="D13" i="2" s="1"/>
  <c r="L12" i="2"/>
  <c r="M12" i="2" s="1"/>
  <c r="I12" i="2"/>
  <c r="J12" i="2" s="1"/>
  <c r="F12" i="2"/>
  <c r="G12" i="2" s="1"/>
  <c r="C12" i="2"/>
  <c r="D12" i="2" s="1"/>
  <c r="L11" i="2"/>
  <c r="M11" i="2" s="1"/>
  <c r="I11" i="2"/>
  <c r="J11" i="2" s="1"/>
  <c r="F11" i="2"/>
  <c r="G11" i="2" s="1"/>
  <c r="C11" i="2"/>
  <c r="D11" i="2" s="1"/>
  <c r="L10" i="2"/>
  <c r="M10" i="2" s="1"/>
  <c r="I10" i="2"/>
  <c r="J10" i="2" s="1"/>
  <c r="F10" i="2"/>
  <c r="G10" i="2" s="1"/>
  <c r="C10" i="2"/>
  <c r="D10" i="2" s="1"/>
  <c r="L9" i="2"/>
  <c r="M9" i="2" s="1"/>
  <c r="I9" i="2"/>
  <c r="J9" i="2" s="1"/>
  <c r="F9" i="2"/>
  <c r="G9" i="2" s="1"/>
  <c r="C9" i="2"/>
  <c r="D9" i="2" s="1"/>
  <c r="L8" i="2"/>
  <c r="M8" i="2" s="1"/>
  <c r="I8" i="2"/>
  <c r="J8" i="2" s="1"/>
  <c r="F8" i="2"/>
  <c r="G8" i="2" s="1"/>
  <c r="C8" i="2"/>
  <c r="D8" i="2" s="1"/>
  <c r="L7" i="2"/>
  <c r="M7" i="2" s="1"/>
  <c r="I7" i="2"/>
  <c r="J7" i="2" s="1"/>
  <c r="F7" i="2"/>
  <c r="G7" i="2" s="1"/>
  <c r="C7" i="2"/>
  <c r="D7" i="2" s="1"/>
  <c r="L6" i="2"/>
  <c r="M6" i="2" s="1"/>
  <c r="I6" i="2"/>
  <c r="J6" i="2" s="1"/>
  <c r="F6" i="2"/>
  <c r="G6" i="2" s="1"/>
  <c r="C6" i="2"/>
  <c r="D6" i="2" s="1"/>
  <c r="L5" i="2"/>
  <c r="M5" i="2" s="1"/>
  <c r="I5" i="2"/>
  <c r="J5" i="2" s="1"/>
  <c r="F5" i="2"/>
  <c r="G5" i="2" s="1"/>
  <c r="C5" i="2"/>
  <c r="D5" i="2" s="1"/>
  <c r="L4" i="2"/>
  <c r="M4" i="2" s="1"/>
  <c r="I4" i="2"/>
  <c r="J4" i="2" s="1"/>
  <c r="F4" i="2"/>
  <c r="G4" i="2" s="1"/>
  <c r="C4" i="2"/>
  <c r="D4" i="2" s="1"/>
  <c r="I3" i="2"/>
  <c r="J3" i="2" s="1"/>
  <c r="C3" i="2"/>
  <c r="D3" i="2" s="1"/>
  <c r="E27" i="2" l="1"/>
  <c r="O27" i="2"/>
  <c r="N27" i="2"/>
  <c r="K27" i="2"/>
  <c r="F3" i="2"/>
  <c r="G3" i="2" s="1"/>
  <c r="B27" i="2"/>
  <c r="H27" i="2"/>
  <c r="L3" i="2"/>
  <c r="M3" i="2" s="1"/>
  <c r="B29" i="1"/>
  <c r="Q30" i="1"/>
  <c r="P30" i="1"/>
  <c r="O29" i="1"/>
  <c r="N29" i="1"/>
  <c r="K29" i="1"/>
  <c r="E29" i="1"/>
  <c r="O28" i="1" l="1"/>
  <c r="B28" i="1"/>
  <c r="N28" i="1"/>
  <c r="E28" i="1"/>
  <c r="O27" i="1"/>
  <c r="E27" i="1"/>
  <c r="B27" i="1"/>
  <c r="O26" i="1" l="1"/>
  <c r="K26" i="1"/>
  <c r="E26" i="1"/>
  <c r="B26" i="1"/>
  <c r="O25" i="1" l="1"/>
  <c r="N25" i="1"/>
  <c r="K25" i="1"/>
  <c r="E25" i="1"/>
  <c r="B25" i="1"/>
  <c r="O24" i="1"/>
  <c r="K24" i="1"/>
  <c r="E24" i="1"/>
  <c r="B24" i="1"/>
  <c r="O23" i="1"/>
  <c r="N23" i="1"/>
  <c r="K23" i="1"/>
  <c r="E23" i="1"/>
  <c r="B23" i="1"/>
  <c r="O22" i="1" l="1"/>
  <c r="N22" i="1"/>
  <c r="K22" i="1"/>
  <c r="E22" i="1"/>
  <c r="B22" i="1"/>
  <c r="O21" i="1" l="1"/>
  <c r="K21" i="1"/>
  <c r="H21" i="1"/>
  <c r="E21" i="1"/>
  <c r="B21" i="1"/>
  <c r="O20" i="1"/>
  <c r="N20" i="1"/>
  <c r="K20" i="1"/>
  <c r="E20" i="1"/>
  <c r="B20" i="1"/>
  <c r="R19" i="1" l="1"/>
  <c r="R30" i="1" s="1"/>
  <c r="O19" i="1"/>
  <c r="N19" i="1"/>
  <c r="K19" i="1"/>
  <c r="H19" i="1"/>
  <c r="E19" i="1"/>
  <c r="B19" i="1"/>
  <c r="O18" i="1"/>
  <c r="N18" i="1"/>
  <c r="K18" i="1"/>
  <c r="E18" i="1"/>
  <c r="B18" i="1"/>
  <c r="O17" i="1"/>
  <c r="N17" i="1"/>
  <c r="K17" i="1"/>
  <c r="E17" i="1"/>
  <c r="B17" i="1"/>
  <c r="O16" i="1" l="1"/>
  <c r="K16" i="1"/>
  <c r="H16" i="1"/>
  <c r="E16" i="1"/>
  <c r="B16" i="1"/>
  <c r="O15" i="1"/>
  <c r="K15" i="1"/>
  <c r="E15" i="1"/>
  <c r="B15" i="1"/>
  <c r="O14" i="1" l="1"/>
  <c r="K14" i="1"/>
  <c r="E14" i="1"/>
  <c r="B14" i="1"/>
  <c r="O13" i="1" l="1"/>
  <c r="N13" i="1"/>
  <c r="K13" i="1"/>
  <c r="E13" i="1"/>
  <c r="B13" i="1"/>
  <c r="O12" i="1"/>
  <c r="K12" i="1"/>
  <c r="H12" i="1"/>
  <c r="E12" i="1"/>
  <c r="B12" i="1"/>
  <c r="O11" i="1" l="1"/>
  <c r="K11" i="1"/>
  <c r="E11" i="1"/>
  <c r="B11" i="1"/>
  <c r="O10" i="1"/>
  <c r="K10" i="1"/>
  <c r="E10" i="1"/>
  <c r="B10" i="1"/>
  <c r="O9" i="1"/>
  <c r="N9" i="1"/>
  <c r="K9" i="1"/>
  <c r="E9" i="1"/>
  <c r="B9" i="1"/>
  <c r="O8" i="1"/>
  <c r="N8" i="1"/>
  <c r="K8" i="1"/>
  <c r="E8" i="1"/>
  <c r="B8" i="1"/>
  <c r="O7" i="1" l="1"/>
  <c r="N7" i="1"/>
  <c r="K7" i="1"/>
  <c r="E7" i="1"/>
  <c r="B7" i="1"/>
  <c r="O6" i="1"/>
  <c r="N6" i="1"/>
  <c r="K6" i="1"/>
  <c r="E6" i="1"/>
  <c r="B6" i="1"/>
  <c r="O5" i="1"/>
  <c r="N5" i="1"/>
  <c r="N30" i="1" s="1"/>
  <c r="K5" i="1"/>
  <c r="H5" i="1"/>
  <c r="E5" i="1"/>
  <c r="B5" i="1"/>
  <c r="O4" i="1"/>
  <c r="E4" i="1"/>
  <c r="B4" i="1"/>
  <c r="O3" i="1" l="1"/>
  <c r="O30" i="1" s="1"/>
  <c r="K3" i="1"/>
  <c r="K30" i="1" s="1"/>
  <c r="H3" i="1"/>
  <c r="H30" i="1" s="1"/>
  <c r="E3" i="1"/>
  <c r="E30" i="1" s="1"/>
  <c r="B3" i="1"/>
  <c r="B30" i="1" s="1"/>
  <c r="C26" i="1"/>
  <c r="D26" i="1" s="1"/>
  <c r="F26" i="1"/>
  <c r="G26" i="1" s="1"/>
  <c r="I26" i="1"/>
  <c r="J26" i="1" s="1"/>
  <c r="L26" i="1"/>
  <c r="M26" i="1" s="1"/>
  <c r="C27" i="1"/>
  <c r="D27" i="1" s="1"/>
  <c r="F27" i="1"/>
  <c r="G27" i="1" s="1"/>
  <c r="I27" i="1"/>
  <c r="J27" i="1" s="1"/>
  <c r="L27" i="1"/>
  <c r="M27" i="1" s="1"/>
  <c r="C28" i="1"/>
  <c r="D28" i="1" s="1"/>
  <c r="F28" i="1"/>
  <c r="G28" i="1" s="1"/>
  <c r="I28" i="1"/>
  <c r="J28" i="1"/>
  <c r="L28" i="1"/>
  <c r="M28" i="1" s="1"/>
  <c r="C29" i="1"/>
  <c r="D29" i="1" s="1"/>
  <c r="F29" i="1"/>
  <c r="G29" i="1" s="1"/>
  <c r="I29" i="1"/>
  <c r="J29" i="1"/>
  <c r="L29" i="1"/>
  <c r="M29" i="1" s="1"/>
  <c r="L25" i="1" l="1"/>
  <c r="M25" i="1" s="1"/>
  <c r="C25" i="1"/>
  <c r="D25" i="1" s="1"/>
  <c r="C24" i="1"/>
  <c r="D24" i="1" s="1"/>
  <c r="C23" i="1"/>
  <c r="D23" i="1" s="1"/>
  <c r="L22" i="1"/>
  <c r="M22" i="1" s="1"/>
  <c r="I22" i="1"/>
  <c r="J22" i="1" s="1"/>
  <c r="F22" i="1"/>
  <c r="G22" i="1" s="1"/>
  <c r="L21" i="1"/>
  <c r="M21" i="1" s="1"/>
  <c r="I21" i="1"/>
  <c r="J21" i="1" s="1"/>
  <c r="I20" i="1"/>
  <c r="J20" i="1" s="1"/>
  <c r="C20" i="1"/>
  <c r="D20" i="1" s="1"/>
  <c r="L19" i="1"/>
  <c r="M19" i="1" s="1"/>
  <c r="I19" i="1"/>
  <c r="J19" i="1" s="1"/>
  <c r="C19" i="1"/>
  <c r="D19" i="1" s="1"/>
  <c r="L18" i="1"/>
  <c r="M18" i="1" s="1"/>
  <c r="C18" i="1"/>
  <c r="D18" i="1" s="1"/>
  <c r="L17" i="1"/>
  <c r="M17" i="1" s="1"/>
  <c r="L16" i="1"/>
  <c r="M16" i="1" s="1"/>
  <c r="C16" i="1"/>
  <c r="D16" i="1" s="1"/>
  <c r="L15" i="1"/>
  <c r="M15" i="1" s="1"/>
  <c r="C15" i="1"/>
  <c r="D15" i="1" s="1"/>
  <c r="L14" i="1"/>
  <c r="M14" i="1" s="1"/>
  <c r="C14" i="1"/>
  <c r="D14" i="1" s="1"/>
  <c r="L13" i="1"/>
  <c r="M13" i="1" s="1"/>
  <c r="I13" i="1"/>
  <c r="J13" i="1" s="1"/>
  <c r="C13" i="1"/>
  <c r="D13" i="1" s="1"/>
  <c r="L12" i="1"/>
  <c r="M12" i="1" s="1"/>
  <c r="L11" i="1"/>
  <c r="M11" i="1" s="1"/>
  <c r="F11" i="1"/>
  <c r="G11" i="1" s="1"/>
  <c r="C11" i="1"/>
  <c r="D11" i="1" s="1"/>
  <c r="L10" i="1"/>
  <c r="M10" i="1" s="1"/>
  <c r="F10" i="1"/>
  <c r="G10" i="1" s="1"/>
  <c r="C10" i="1"/>
  <c r="D10" i="1" s="1"/>
  <c r="L9" i="1"/>
  <c r="M9" i="1" s="1"/>
  <c r="F9" i="1"/>
  <c r="G9" i="1" s="1"/>
  <c r="C9" i="1"/>
  <c r="D9" i="1" s="1"/>
  <c r="L8" i="1"/>
  <c r="M8" i="1" s="1"/>
  <c r="C8" i="1"/>
  <c r="D8" i="1" s="1"/>
  <c r="L7" i="1"/>
  <c r="M7" i="1" s="1"/>
  <c r="F7" i="1"/>
  <c r="G7" i="1" s="1"/>
  <c r="C7" i="1"/>
  <c r="D7" i="1" s="1"/>
  <c r="L6" i="1"/>
  <c r="M6" i="1" s="1"/>
  <c r="C6" i="1"/>
  <c r="D6" i="1" s="1"/>
  <c r="L5" i="1"/>
  <c r="M5" i="1" s="1"/>
  <c r="F5" i="1"/>
  <c r="G5" i="1" s="1"/>
  <c r="C5" i="1"/>
  <c r="D5" i="1" s="1"/>
  <c r="L4" i="1"/>
  <c r="M4" i="1" s="1"/>
  <c r="F4" i="1"/>
  <c r="G4" i="1" s="1"/>
  <c r="C4" i="1"/>
  <c r="D4" i="1" s="1"/>
  <c r="C3" i="1"/>
  <c r="D3" i="1" s="1"/>
  <c r="C17" i="1"/>
  <c r="D17" i="1" s="1"/>
  <c r="F19" i="1"/>
  <c r="G19" i="1" s="1"/>
  <c r="F15" i="1"/>
  <c r="G15" i="1" s="1"/>
  <c r="C12" i="1"/>
  <c r="D12" i="1" s="1"/>
  <c r="L20" i="1"/>
  <c r="M20" i="1" s="1"/>
  <c r="L23" i="1"/>
  <c r="M23" i="1" s="1"/>
  <c r="L24" i="1"/>
  <c r="M24" i="1" s="1"/>
  <c r="L3" i="1"/>
  <c r="M3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4" i="1"/>
  <c r="J14" i="1" s="1"/>
  <c r="I15" i="1"/>
  <c r="J15" i="1" s="1"/>
  <c r="I16" i="1"/>
  <c r="J16" i="1" s="1"/>
  <c r="I17" i="1"/>
  <c r="J17" i="1" s="1"/>
  <c r="I18" i="1"/>
  <c r="J18" i="1" s="1"/>
  <c r="I23" i="1"/>
  <c r="J23" i="1" s="1"/>
  <c r="I24" i="1"/>
  <c r="J24" i="1" s="1"/>
  <c r="I25" i="1"/>
  <c r="J25" i="1" s="1"/>
  <c r="I3" i="1"/>
  <c r="J3" i="1" s="1"/>
  <c r="F6" i="1"/>
  <c r="G6" i="1" s="1"/>
  <c r="F8" i="1"/>
  <c r="G8" i="1" s="1"/>
  <c r="F12" i="1"/>
  <c r="G12" i="1" s="1"/>
  <c r="F13" i="1"/>
  <c r="G13" i="1" s="1"/>
  <c r="F14" i="1"/>
  <c r="G14" i="1" s="1"/>
  <c r="F16" i="1"/>
  <c r="G16" i="1" s="1"/>
  <c r="F17" i="1"/>
  <c r="G17" i="1" s="1"/>
  <c r="F18" i="1"/>
  <c r="G18" i="1" s="1"/>
  <c r="F20" i="1"/>
  <c r="G20" i="1" s="1"/>
  <c r="F21" i="1"/>
  <c r="G21" i="1" s="1"/>
  <c r="F23" i="1"/>
  <c r="G23" i="1" s="1"/>
  <c r="F24" i="1"/>
  <c r="G24" i="1" s="1"/>
  <c r="F25" i="1"/>
  <c r="G25" i="1" s="1"/>
  <c r="F3" i="1"/>
  <c r="G3" i="1" s="1"/>
  <c r="C21" i="1"/>
  <c r="D21" i="1" s="1"/>
  <c r="C22" i="1"/>
  <c r="D22" i="1" s="1"/>
</calcChain>
</file>

<file path=xl/comments1.xml><?xml version="1.0" encoding="utf-8"?>
<comments xmlns="http://schemas.openxmlformats.org/spreadsheetml/2006/main">
  <authors>
    <author>User</author>
  </authors>
  <commentList>
    <comment ref="J49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ÇAĞ ÇEVREYE KESİLEN FATURA TUTARI 9240
</t>
        </r>
      </text>
    </comment>
  </commentList>
</comments>
</file>

<file path=xl/sharedStrings.xml><?xml version="1.0" encoding="utf-8"?>
<sst xmlns="http://schemas.openxmlformats.org/spreadsheetml/2006/main" count="299" uniqueCount="96">
  <si>
    <t>FİŞ TARİHİ</t>
  </si>
  <si>
    <t>YİYECEK</t>
  </si>
  <si>
    <t>İÇECEK</t>
  </si>
  <si>
    <t>BAHŞİŞ</t>
  </si>
  <si>
    <t>KUVER</t>
  </si>
  <si>
    <t>NAKİT</t>
  </si>
  <si>
    <t>K.KARTI</t>
  </si>
  <si>
    <t>QR ÖDEME</t>
  </si>
  <si>
    <t>FATURA ÖDEME BİLGİLERİ</t>
  </si>
  <si>
    <t>NOT</t>
  </si>
  <si>
    <t>KESİLEN FATURALAR</t>
  </si>
  <si>
    <t>KREDİ KARTI</t>
  </si>
  <si>
    <t>200 TL NKT FİŞ FAZLA
7230 TL IBAN ÖDEMESİ</t>
  </si>
  <si>
    <t>3810 TL NKT FİŞ EKSİK</t>
  </si>
  <si>
    <t>200 TL NKT FİŞ EKSİK</t>
  </si>
  <si>
    <t>1520 TL FAZLA NKT FİŞ</t>
  </si>
  <si>
    <t>1520 TL EKSİK NKT FİŞ</t>
  </si>
  <si>
    <t>600 TL EKSİK NAKİT FİŞ</t>
  </si>
  <si>
    <t>320 TL EKSİK NKT FİŞ</t>
  </si>
  <si>
    <t>1635 TL FAZLA NAKİT FİŞ</t>
  </si>
  <si>
    <t>3935 TL YUSUF GÜNDOĞDU HAVALE</t>
  </si>
  <si>
    <t>63.000 TL HAVALE</t>
  </si>
  <si>
    <t>9800 TL HAVALE</t>
  </si>
  <si>
    <t>4500 TL HAVALE</t>
  </si>
  <si>
    <t>16500 TL HAVALE</t>
  </si>
  <si>
    <t>9100 HAVALE</t>
  </si>
  <si>
    <t>8465 TL HAVALE
GÖKHAN DURMAZ</t>
  </si>
  <si>
    <t>9715 TL CARİ</t>
  </si>
  <si>
    <t>1790 Tl kk ödeme gelmemiş</t>
  </si>
  <si>
    <t>290 TL NAKİT FİŞ EKSİK</t>
  </si>
  <si>
    <t>290 TL NAKİT FİŞ FAZLA</t>
  </si>
  <si>
    <t>2000 NAKİT FİŞ FAZLA</t>
  </si>
  <si>
    <t>KASA</t>
  </si>
  <si>
    <t>K.K.</t>
  </si>
  <si>
    <t>KASA KAHVE</t>
  </si>
  <si>
    <t>TOLA</t>
  </si>
  <si>
    <t>UMUT ONUR BONCUK HAVALE 8316 TL</t>
  </si>
  <si>
    <t>DİNÇER ÜLKER 3000 TL HAVALE</t>
  </si>
  <si>
    <t>7110 TL UTKU BAYRAM AGAR HAVALE</t>
  </si>
  <si>
    <t>2950 TL ÖN ÖDEME Z FAZLA FAT NİHAİ</t>
  </si>
  <si>
    <t>0,25 KRŞ KK FİZ EKSİK</t>
  </si>
  <si>
    <t>1790 TL ERTUĞRUL UÇAR HAVALE</t>
  </si>
  <si>
    <t>1790 TL FAZLA NAKİT FİŞ</t>
  </si>
  <si>
    <t>1790 TL EKSİK NAKİT FİŞ</t>
  </si>
  <si>
    <t>320 TL FAZLA NAKİT FİŞ</t>
  </si>
  <si>
    <t>200 TL EKSİK NAKİT FİŞ</t>
  </si>
  <si>
    <t>79,5 TL FAZLA NAKİT FİŞ</t>
  </si>
  <si>
    <t>855 TL FAZLA NKT FİŞ</t>
  </si>
  <si>
    <t>855 TL EKSİK NKT FİŞ</t>
  </si>
  <si>
    <t>2130 TL HAVALE
RABİA BALCI</t>
  </si>
  <si>
    <t>PERVİN SÜRMELİ 
1925 TL HAVALE</t>
  </si>
  <si>
    <t>730 TL FAZLA NKT FİŞ</t>
  </si>
  <si>
    <t>381 TL EKSİK NKT FİŞ</t>
  </si>
  <si>
    <t>349 tl eksik nkt fiş</t>
  </si>
  <si>
    <t>277 TL FAZLA NKT FİŞ</t>
  </si>
  <si>
    <t>277 TL EKSİK NKT FİŞ</t>
  </si>
  <si>
    <t>200 tl eksik nkt fiş</t>
  </si>
  <si>
    <t>500 tl eksik fiş</t>
  </si>
  <si>
    <t>10 TL EKSİK NKT FİŞ</t>
  </si>
  <si>
    <t>180 TL FAZLA NKT FİŞ</t>
  </si>
  <si>
    <t>51 TL FAZLA NAKİT FİŞ</t>
  </si>
  <si>
    <t>50 TL EKSİK NKT FİŞ</t>
  </si>
  <si>
    <t>345 TL FAZLA NKT FİŞ</t>
  </si>
  <si>
    <t>345 TL EKSİK NKT FİŞ</t>
  </si>
  <si>
    <t>956 TL NKT FİŞ EKSİK</t>
  </si>
  <si>
    <t>HAVALE</t>
  </si>
  <si>
    <t>NKT 195 TL EKSİK</t>
  </si>
  <si>
    <t>NKT 210 TL FAZLA</t>
  </si>
  <si>
    <t>NKT 15TL FAZLA</t>
  </si>
  <si>
    <t>NEVİN LİSTE</t>
  </si>
  <si>
    <t>FARK</t>
  </si>
  <si>
    <t>mizan</t>
  </si>
  <si>
    <t>ÖKC</t>
  </si>
  <si>
    <t>TOPLAM</t>
  </si>
  <si>
    <t>kdv</t>
  </si>
  <si>
    <t>kdv dahil satış</t>
  </si>
  <si>
    <t>NKT</t>
  </si>
  <si>
    <t>ökcli satış</t>
  </si>
  <si>
    <t>KK</t>
  </si>
  <si>
    <t>faturalı satış</t>
  </si>
  <si>
    <t>ÖDEME FARK</t>
  </si>
  <si>
    <t>cari satış</t>
  </si>
  <si>
    <t>FT</t>
  </si>
  <si>
    <t>herşey tutuyor ok.</t>
  </si>
  <si>
    <t>FT. NK.</t>
  </si>
  <si>
    <t>FT. KK.</t>
  </si>
  <si>
    <t>43 TL FARK</t>
  </si>
  <si>
    <t>670 TL KK FAZLA</t>
  </si>
  <si>
    <t>nevin</t>
  </si>
  <si>
    <t>fark</t>
  </si>
  <si>
    <t>FATURA</t>
  </si>
  <si>
    <t>1.ÖKC</t>
  </si>
  <si>
    <t>2.ÖKC</t>
  </si>
  <si>
    <t xml:space="preserve">**** 18.11.2025 30.000 tl cari ths kk ile yapıldı. Ft düzenlendi. </t>
  </si>
  <si>
    <t>09.12.2025 trhnde ökc z raporu ft kk olarak yapıldı. Biz 11. aya düzenledik ft.</t>
  </si>
  <si>
    <t>nakit thst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</si>
</sst>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0"/>
      <color rgb="FF212529"/>
      <name val="Arial"/>
      <family val="2"/>
      <charset val="162"/>
    </font>
    <font>
      <sz val="10"/>
      <color rgb="FFFFFFFF"/>
      <name val="Arial"/>
      <family val="2"/>
      <charset val="162"/>
    </font>
    <font>
      <sz val="10"/>
      <color rgb="FF212529"/>
      <name val="Arial"/>
      <family val="2"/>
      <charset val="162"/>
    </font>
    <font>
      <u/>
      <sz val="11"/>
      <color theme="10"/>
      <name val="Calibri"/>
      <family val="2"/>
      <charset val="162"/>
      <scheme val="minor"/>
    </font>
    <font>
      <sz val="8"/>
      <color rgb="FF212529"/>
      <name val="Arial"/>
      <family val="2"/>
      <charset val="16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DEE2E6"/>
      </left>
      <right style="medium">
        <color rgb="FFDEE2E6"/>
      </right>
      <top/>
      <bottom style="medium">
        <color rgb="FFDEE2E6"/>
      </bottom>
      <diagonal/>
    </border>
    <border>
      <left style="medium">
        <color rgb="FFDEE2E6"/>
      </left>
      <right style="medium">
        <color rgb="FFDEE2E6"/>
      </right>
      <top/>
      <bottom/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 style="medium">
        <color rgb="FFDEE2E6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69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4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/>
    <xf numFmtId="0" fontId="0" fillId="2" borderId="0" xfId="0" applyFill="1"/>
    <xf numFmtId="0" fontId="0" fillId="2" borderId="0" xfId="0" applyFill="1" applyAlignment="1">
      <alignment horizontal="center"/>
    </xf>
    <xf numFmtId="4" fontId="1" fillId="2" borderId="0" xfId="0" applyNumberFormat="1" applyFont="1" applyFill="1"/>
    <xf numFmtId="0" fontId="0" fillId="0" borderId="2" xfId="0" applyBorder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2" fillId="2" borderId="0" xfId="0" applyNumberFormat="1" applyFont="1" applyFill="1" applyAlignment="1">
      <alignment horizontal="center"/>
    </xf>
    <xf numFmtId="0" fontId="0" fillId="2" borderId="1" xfId="0" applyFill="1" applyBorder="1" applyAlignment="1">
      <alignment horizontal="center" wrapText="1"/>
    </xf>
    <xf numFmtId="4" fontId="0" fillId="3" borderId="1" xfId="0" applyNumberFormat="1" applyFill="1" applyBorder="1"/>
    <xf numFmtId="0" fontId="1" fillId="0" borderId="1" xfId="0" applyFont="1" applyBorder="1" applyAlignment="1">
      <alignment horizontal="center"/>
    </xf>
    <xf numFmtId="4" fontId="0" fillId="0" borderId="0" xfId="0" applyNumberFormat="1"/>
    <xf numFmtId="0" fontId="0" fillId="0" borderId="1" xfId="0" applyBorder="1" applyAlignment="1">
      <alignment horizontal="center" wrapText="1"/>
    </xf>
    <xf numFmtId="4" fontId="1" fillId="0" borderId="0" xfId="0" applyNumberFormat="1" applyFont="1"/>
    <xf numFmtId="4" fontId="2" fillId="0" borderId="0" xfId="0" applyNumberFormat="1" applyFont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0" xfId="0" applyFill="1"/>
    <xf numFmtId="43" fontId="0" fillId="4" borderId="0" xfId="1" applyFont="1" applyFill="1"/>
    <xf numFmtId="43" fontId="0" fillId="0" borderId="0" xfId="1" applyFont="1"/>
    <xf numFmtId="43" fontId="0" fillId="0" borderId="0" xfId="1" applyFont="1" applyFill="1"/>
    <xf numFmtId="0" fontId="4" fillId="5" borderId="4" xfId="0" applyFont="1" applyFill="1" applyBorder="1" applyAlignment="1">
      <alignment horizontal="right"/>
    </xf>
    <xf numFmtId="0" fontId="7" fillId="5" borderId="3" xfId="2" applyFill="1" applyBorder="1" applyAlignment="1">
      <alignment horizontal="right"/>
    </xf>
    <xf numFmtId="14" fontId="6" fillId="5" borderId="5" xfId="0" applyNumberFormat="1" applyFont="1" applyFill="1" applyBorder="1" applyAlignment="1">
      <alignment vertical="top"/>
    </xf>
    <xf numFmtId="0" fontId="6" fillId="5" borderId="5" xfId="0" applyFont="1" applyFill="1" applyBorder="1" applyAlignment="1">
      <alignment horizontal="right" vertical="top"/>
    </xf>
    <xf numFmtId="0" fontId="5" fillId="5" borderId="5" xfId="0" applyFont="1" applyFill="1" applyBorder="1" applyAlignment="1">
      <alignment vertical="top"/>
    </xf>
    <xf numFmtId="0" fontId="5" fillId="5" borderId="5" xfId="0" applyFont="1" applyFill="1" applyBorder="1" applyAlignment="1">
      <alignment horizontal="right" vertical="top"/>
    </xf>
    <xf numFmtId="43" fontId="6" fillId="5" borderId="5" xfId="1" applyFont="1" applyFill="1" applyBorder="1" applyAlignment="1">
      <alignment horizontal="right" vertical="top"/>
    </xf>
    <xf numFmtId="43" fontId="0" fillId="0" borderId="0" xfId="0" applyNumberFormat="1"/>
    <xf numFmtId="43" fontId="0" fillId="4" borderId="0" xfId="0" applyNumberFormat="1" applyFill="1"/>
    <xf numFmtId="4" fontId="8" fillId="0" borderId="0" xfId="0" applyNumberFormat="1" applyFont="1"/>
    <xf numFmtId="43" fontId="8" fillId="0" borderId="0" xfId="1" applyFont="1"/>
    <xf numFmtId="4" fontId="0" fillId="3" borderId="0" xfId="0" applyNumberFormat="1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0" fillId="0" borderId="0" xfId="0" applyFill="1"/>
    <xf numFmtId="14" fontId="0" fillId="0" borderId="1" xfId="0" applyNumberFormat="1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0" fontId="0" fillId="0" borderId="1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2" fillId="0" borderId="0" xfId="0" applyNumberFormat="1" applyFont="1" applyFill="1" applyAlignment="1">
      <alignment horizontal="center"/>
    </xf>
    <xf numFmtId="4" fontId="0" fillId="0" borderId="0" xfId="0" applyNumberFormat="1" applyFill="1"/>
    <xf numFmtId="9" fontId="1" fillId="0" borderId="0" xfId="0" applyNumberFormat="1" applyFont="1"/>
    <xf numFmtId="9" fontId="0" fillId="0" borderId="0" xfId="0" applyNumberFormat="1" applyAlignment="1">
      <alignment horizontal="center"/>
    </xf>
    <xf numFmtId="9" fontId="1" fillId="0" borderId="0" xfId="0" applyNumberFormat="1" applyFont="1" applyAlignment="1">
      <alignment horizontal="center"/>
    </xf>
    <xf numFmtId="9" fontId="1" fillId="4" borderId="0" xfId="0" applyNumberFormat="1" applyFont="1" applyFill="1" applyAlignment="1">
      <alignment horizontal="left"/>
    </xf>
    <xf numFmtId="4" fontId="1" fillId="4" borderId="0" xfId="0" applyNumberFormat="1" applyFont="1" applyFill="1"/>
    <xf numFmtId="0" fontId="0" fillId="4" borderId="0" xfId="0" applyFill="1" applyAlignment="1">
      <alignment horizontal="center"/>
    </xf>
    <xf numFmtId="4" fontId="0" fillId="4" borderId="0" xfId="0" applyNumberFormat="1" applyFill="1"/>
    <xf numFmtId="0" fontId="1" fillId="0" borderId="0" xfId="0" applyFont="1"/>
    <xf numFmtId="9" fontId="0" fillId="0" borderId="0" xfId="0" applyNumberFormat="1" applyFill="1" applyAlignment="1">
      <alignment horizontal="center"/>
    </xf>
    <xf numFmtId="4" fontId="0" fillId="0" borderId="0" xfId="0" applyNumberForma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9" fontId="0" fillId="0" borderId="0" xfId="0" applyNumberFormat="1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5" borderId="4" xfId="0" applyFont="1" applyFill="1" applyBorder="1" applyAlignment="1">
      <alignment horizontal="center" wrapText="1"/>
    </xf>
    <xf numFmtId="0" fontId="4" fillId="5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</cellXfs>
  <cellStyles count="3">
    <cellStyle name="Köprü" xfId="2" builtinId="8"/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4"/>
  <sheetViews>
    <sheetView topLeftCell="A4" workbookViewId="0">
      <selection activeCell="A29" sqref="A29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24.5546875" style="4" bestFit="1" customWidth="1"/>
    <col min="20" max="20" width="18.5546875" style="4" bestFit="1" customWidth="1"/>
    <col min="21" max="21" width="14" customWidth="1"/>
    <col min="23" max="23" width="8.88671875" customWidth="1"/>
  </cols>
  <sheetData>
    <row r="1" spans="1:32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65" t="s">
        <v>8</v>
      </c>
      <c r="R1" s="65"/>
      <c r="S1" s="17" t="s">
        <v>9</v>
      </c>
      <c r="T1" s="17" t="s">
        <v>10</v>
      </c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</row>
    <row r="2" spans="1:32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  <c r="T2" s="12"/>
    </row>
    <row r="3" spans="1:32" s="7" customFormat="1" x14ac:dyDescent="0.3">
      <c r="A3" s="5">
        <v>45658</v>
      </c>
      <c r="B3" s="16">
        <f>7160+95490+14440+116605</f>
        <v>233695</v>
      </c>
      <c r="C3" s="6">
        <f>B3/1.1</f>
        <v>212449.99999999997</v>
      </c>
      <c r="D3" s="6">
        <f>C3*10/100</f>
        <v>21244.999999999996</v>
      </c>
      <c r="E3" s="16">
        <f>260+3355+6820</f>
        <v>10435</v>
      </c>
      <c r="F3" s="6">
        <f>E3/1.1</f>
        <v>9486.363636363636</v>
      </c>
      <c r="G3" s="6">
        <f>F3*10/100</f>
        <v>948.63636363636351</v>
      </c>
      <c r="H3" s="16">
        <f>650</f>
        <v>650</v>
      </c>
      <c r="I3" s="6">
        <f>H3/1.2</f>
        <v>541.66666666666674</v>
      </c>
      <c r="J3" s="6">
        <f>I3*20/100</f>
        <v>108.33333333333336</v>
      </c>
      <c r="K3" s="16">
        <f>780+1560</f>
        <v>2340</v>
      </c>
      <c r="L3" s="6">
        <f>K3/1.2</f>
        <v>1950</v>
      </c>
      <c r="M3" s="6">
        <f>L3*20/100</f>
        <v>390</v>
      </c>
      <c r="N3" s="16">
        <v>2690</v>
      </c>
      <c r="O3" s="16">
        <f>7420+100275+14440+122295</f>
        <v>244430</v>
      </c>
      <c r="P3" s="6">
        <v>0</v>
      </c>
      <c r="Q3" s="6">
        <v>0</v>
      </c>
      <c r="R3" s="16">
        <v>12250</v>
      </c>
      <c r="S3" s="13"/>
      <c r="T3" s="13"/>
    </row>
    <row r="4" spans="1:32" x14ac:dyDescent="0.3">
      <c r="A4" s="5">
        <v>45659</v>
      </c>
      <c r="B4" s="16">
        <f>40535+2190</f>
        <v>42725</v>
      </c>
      <c r="C4" s="6">
        <f t="shared" ref="C4:C25" si="0">B4/1.1</f>
        <v>38840.909090909088</v>
      </c>
      <c r="D4" s="6">
        <f t="shared" ref="D4:D25" si="1">C4*10/100</f>
        <v>3884.090909090909</v>
      </c>
      <c r="E4" s="16">
        <f>2375+60</f>
        <v>2435</v>
      </c>
      <c r="F4" s="6">
        <f t="shared" ref="F4:F25" si="2">E4/1.1</f>
        <v>2213.6363636363635</v>
      </c>
      <c r="G4" s="6">
        <f t="shared" ref="G4:G25" si="3">F4*10/100</f>
        <v>221.36363636363637</v>
      </c>
      <c r="H4" s="16">
        <v>500</v>
      </c>
      <c r="I4" s="6">
        <f t="shared" ref="I4:I25" si="4">H4/1.2</f>
        <v>416.66666666666669</v>
      </c>
      <c r="J4" s="6">
        <f t="shared" ref="J4:J25" si="5">I4*20/100</f>
        <v>83.333333333333343</v>
      </c>
      <c r="K4" s="16">
        <v>840</v>
      </c>
      <c r="L4" s="6">
        <f t="shared" ref="L4:L25" si="6">K4/1.2</f>
        <v>700</v>
      </c>
      <c r="M4" s="6">
        <f t="shared" ref="M4:M25" si="7">L4*20/100</f>
        <v>140</v>
      </c>
      <c r="N4" s="16">
        <v>5685</v>
      </c>
      <c r="O4" s="16">
        <f>38565+2250</f>
        <v>40815</v>
      </c>
      <c r="P4" s="11">
        <v>0</v>
      </c>
      <c r="Q4" s="11">
        <v>0</v>
      </c>
      <c r="R4" s="11">
        <v>0</v>
      </c>
      <c r="S4" s="12"/>
      <c r="T4" s="12"/>
    </row>
    <row r="5" spans="1:32" s="7" customFormat="1" x14ac:dyDescent="0.3">
      <c r="A5" s="5">
        <v>45660</v>
      </c>
      <c r="B5" s="16">
        <f>11925+34220</f>
        <v>46145</v>
      </c>
      <c r="C5" s="6">
        <f t="shared" si="0"/>
        <v>41950</v>
      </c>
      <c r="D5" s="6">
        <f t="shared" si="1"/>
        <v>4195</v>
      </c>
      <c r="E5" s="16">
        <f>1725+1735</f>
        <v>3460</v>
      </c>
      <c r="F5" s="6">
        <f t="shared" si="2"/>
        <v>3145.454545454545</v>
      </c>
      <c r="G5" s="6">
        <f t="shared" si="3"/>
        <v>314.5454545454545</v>
      </c>
      <c r="H5" s="6">
        <f>0</f>
        <v>0</v>
      </c>
      <c r="I5" s="6">
        <f t="shared" si="4"/>
        <v>0</v>
      </c>
      <c r="J5" s="6">
        <f t="shared" si="5"/>
        <v>0</v>
      </c>
      <c r="K5" s="16">
        <f>540+1260</f>
        <v>1800</v>
      </c>
      <c r="L5" s="6">
        <f t="shared" si="6"/>
        <v>1500</v>
      </c>
      <c r="M5" s="6">
        <f t="shared" si="7"/>
        <v>300</v>
      </c>
      <c r="N5" s="16">
        <f>340+1733</f>
        <v>2073</v>
      </c>
      <c r="O5" s="16">
        <f>13850+35482</f>
        <v>49332</v>
      </c>
      <c r="P5" s="6">
        <v>0</v>
      </c>
      <c r="Q5" s="6">
        <v>0</v>
      </c>
      <c r="R5" s="6">
        <v>0</v>
      </c>
      <c r="S5" s="13"/>
      <c r="T5" s="15"/>
    </row>
    <row r="6" spans="1:32" s="7" customFormat="1" ht="28.8" x14ac:dyDescent="0.3">
      <c r="A6" s="5">
        <v>45661</v>
      </c>
      <c r="B6" s="16">
        <f>89695+63986.5</f>
        <v>153681.5</v>
      </c>
      <c r="C6" s="6">
        <f t="shared" si="0"/>
        <v>139710.45454545453</v>
      </c>
      <c r="D6" s="6">
        <f t="shared" si="1"/>
        <v>13971.045454545454</v>
      </c>
      <c r="E6" s="16">
        <f>4905+4559.5</f>
        <v>9464.5</v>
      </c>
      <c r="F6" s="6">
        <f t="shared" si="2"/>
        <v>8604.0909090909081</v>
      </c>
      <c r="G6" s="6">
        <f t="shared" si="3"/>
        <v>860.40909090909088</v>
      </c>
      <c r="H6" s="16">
        <v>400</v>
      </c>
      <c r="I6" s="6">
        <f t="shared" si="4"/>
        <v>333.33333333333337</v>
      </c>
      <c r="J6" s="6">
        <f t="shared" si="5"/>
        <v>66.666666666666686</v>
      </c>
      <c r="K6" s="16">
        <f>2800+1976</f>
        <v>4776</v>
      </c>
      <c r="L6" s="6">
        <f t="shared" si="6"/>
        <v>3980</v>
      </c>
      <c r="M6" s="6">
        <f t="shared" si="7"/>
        <v>796</v>
      </c>
      <c r="N6" s="16">
        <f>1015+2230</f>
        <v>3245</v>
      </c>
      <c r="O6" s="16">
        <f>96385+68692</f>
        <v>165077</v>
      </c>
      <c r="P6" s="6">
        <v>0</v>
      </c>
      <c r="Q6" s="6">
        <v>0</v>
      </c>
      <c r="R6" s="16">
        <v>5850</v>
      </c>
      <c r="S6" s="15" t="s">
        <v>12</v>
      </c>
      <c r="T6" s="13"/>
    </row>
    <row r="7" spans="1:32" s="7" customFormat="1" x14ac:dyDescent="0.3">
      <c r="A7" s="5">
        <v>45662</v>
      </c>
      <c r="B7" s="16">
        <f>82160+125305</f>
        <v>207465</v>
      </c>
      <c r="C7" s="6">
        <f t="shared" si="0"/>
        <v>188604.54545454544</v>
      </c>
      <c r="D7" s="6">
        <f t="shared" si="1"/>
        <v>18860.454545454544</v>
      </c>
      <c r="E7" s="16">
        <f>7010+10645</f>
        <v>17655</v>
      </c>
      <c r="F7" s="6">
        <f t="shared" si="2"/>
        <v>16049.999999999998</v>
      </c>
      <c r="G7" s="6">
        <f t="shared" si="3"/>
        <v>1604.9999999999998</v>
      </c>
      <c r="H7" s="16">
        <v>2060</v>
      </c>
      <c r="I7" s="6">
        <f t="shared" si="4"/>
        <v>1716.6666666666667</v>
      </c>
      <c r="J7" s="6">
        <f t="shared" si="5"/>
        <v>343.33333333333337</v>
      </c>
      <c r="K7" s="16">
        <f>1760+2720</f>
        <v>4480</v>
      </c>
      <c r="L7" s="6">
        <f t="shared" si="6"/>
        <v>3733.3333333333335</v>
      </c>
      <c r="M7" s="6">
        <f t="shared" si="7"/>
        <v>746.66666666666674</v>
      </c>
      <c r="N7" s="16">
        <f>4355+6530</f>
        <v>10885</v>
      </c>
      <c r="O7" s="16">
        <f>86575+134200</f>
        <v>220775</v>
      </c>
      <c r="P7" s="6">
        <v>0</v>
      </c>
      <c r="Q7" s="6">
        <v>0</v>
      </c>
      <c r="R7" s="16">
        <v>27860</v>
      </c>
      <c r="S7" s="15" t="s">
        <v>13</v>
      </c>
      <c r="T7" s="13"/>
    </row>
    <row r="8" spans="1:32" s="7" customFormat="1" x14ac:dyDescent="0.3">
      <c r="A8" s="5">
        <v>45664</v>
      </c>
      <c r="B8" s="16">
        <f>45235+15495</f>
        <v>60730</v>
      </c>
      <c r="C8" s="6">
        <f t="shared" si="0"/>
        <v>55209.090909090904</v>
      </c>
      <c r="D8" s="6">
        <f t="shared" si="1"/>
        <v>5520.909090909091</v>
      </c>
      <c r="E8" s="16">
        <f>4455+840</f>
        <v>5295</v>
      </c>
      <c r="F8" s="6">
        <f t="shared" si="2"/>
        <v>4813.6363636363631</v>
      </c>
      <c r="G8" s="6">
        <f t="shared" si="3"/>
        <v>481.36363636363632</v>
      </c>
      <c r="H8" s="6">
        <v>0</v>
      </c>
      <c r="I8" s="6">
        <f t="shared" si="4"/>
        <v>0</v>
      </c>
      <c r="J8" s="6">
        <f t="shared" si="5"/>
        <v>0</v>
      </c>
      <c r="K8" s="16">
        <f>880+1040</f>
        <v>1920</v>
      </c>
      <c r="L8" s="6">
        <f t="shared" si="6"/>
        <v>1600</v>
      </c>
      <c r="M8" s="6">
        <f t="shared" si="7"/>
        <v>320</v>
      </c>
      <c r="N8" s="16">
        <f>8060</f>
        <v>8060</v>
      </c>
      <c r="O8" s="16">
        <f>42510+17375</f>
        <v>59885</v>
      </c>
      <c r="P8" s="6">
        <v>0</v>
      </c>
      <c r="Q8" s="6">
        <v>0</v>
      </c>
      <c r="R8" s="6">
        <v>0</v>
      </c>
      <c r="S8" s="13"/>
      <c r="T8" s="13"/>
    </row>
    <row r="9" spans="1:32" s="7" customFormat="1" x14ac:dyDescent="0.3">
      <c r="A9" s="5">
        <v>45665</v>
      </c>
      <c r="B9" s="16">
        <f>32372.5+75315+160</f>
        <v>107847.5</v>
      </c>
      <c r="C9" s="6">
        <f t="shared" si="0"/>
        <v>98043.181818181809</v>
      </c>
      <c r="D9" s="6">
        <f t="shared" si="1"/>
        <v>9804.318181818182</v>
      </c>
      <c r="E9" s="16">
        <f>2245+4625</f>
        <v>6870</v>
      </c>
      <c r="F9" s="6">
        <f t="shared" si="2"/>
        <v>6245.454545454545</v>
      </c>
      <c r="G9" s="6">
        <f t="shared" si="3"/>
        <v>624.5454545454545</v>
      </c>
      <c r="H9" s="16">
        <v>500</v>
      </c>
      <c r="I9" s="6">
        <f t="shared" si="4"/>
        <v>416.66666666666669</v>
      </c>
      <c r="J9" s="6">
        <f t="shared" si="5"/>
        <v>83.333333333333343</v>
      </c>
      <c r="K9" s="16">
        <f>1680+2800</f>
        <v>4480</v>
      </c>
      <c r="L9" s="6">
        <f t="shared" si="6"/>
        <v>3733.3333333333335</v>
      </c>
      <c r="M9" s="6">
        <f t="shared" si="7"/>
        <v>746.66666666666674</v>
      </c>
      <c r="N9" s="16">
        <f>7725+160</f>
        <v>7885</v>
      </c>
      <c r="O9" s="16">
        <f>36297.5+75515</f>
        <v>111812.5</v>
      </c>
      <c r="P9" s="6">
        <v>0</v>
      </c>
      <c r="Q9" s="6">
        <v>0</v>
      </c>
      <c r="R9" s="6">
        <v>0</v>
      </c>
      <c r="S9" s="13" t="s">
        <v>14</v>
      </c>
      <c r="T9" s="13"/>
    </row>
    <row r="10" spans="1:32" s="7" customFormat="1" x14ac:dyDescent="0.3">
      <c r="A10" s="5">
        <v>45666</v>
      </c>
      <c r="B10" s="16">
        <f>38340+15005</f>
        <v>53345</v>
      </c>
      <c r="C10" s="6">
        <f t="shared" si="0"/>
        <v>48495.454545454544</v>
      </c>
      <c r="D10" s="6">
        <f t="shared" si="1"/>
        <v>4849.545454545454</v>
      </c>
      <c r="E10" s="16">
        <f>4190+900</f>
        <v>5090</v>
      </c>
      <c r="F10" s="6">
        <f t="shared" si="2"/>
        <v>4627.272727272727</v>
      </c>
      <c r="G10" s="6">
        <f t="shared" si="3"/>
        <v>462.72727272727275</v>
      </c>
      <c r="H10" s="6">
        <v>0</v>
      </c>
      <c r="I10" s="6">
        <f t="shared" si="4"/>
        <v>0</v>
      </c>
      <c r="J10" s="6">
        <f t="shared" si="5"/>
        <v>0</v>
      </c>
      <c r="K10" s="16">
        <f>960+1120</f>
        <v>2080</v>
      </c>
      <c r="L10" s="6">
        <f t="shared" si="6"/>
        <v>1733.3333333333335</v>
      </c>
      <c r="M10" s="6">
        <f t="shared" si="7"/>
        <v>346.66666666666674</v>
      </c>
      <c r="N10" s="16">
        <v>2195</v>
      </c>
      <c r="O10" s="16">
        <f>41295+17025</f>
        <v>58320</v>
      </c>
      <c r="P10" s="6">
        <v>0</v>
      </c>
      <c r="Q10" s="6">
        <v>0</v>
      </c>
      <c r="R10" s="16">
        <v>11245</v>
      </c>
      <c r="S10" s="13"/>
      <c r="T10" s="13"/>
    </row>
    <row r="11" spans="1:32" s="7" customFormat="1" x14ac:dyDescent="0.3">
      <c r="A11" s="5">
        <v>45667</v>
      </c>
      <c r="B11" s="16">
        <f>21770+65310</f>
        <v>87080</v>
      </c>
      <c r="C11" s="6">
        <f t="shared" si="0"/>
        <v>79163.636363636353</v>
      </c>
      <c r="D11" s="6">
        <f t="shared" si="1"/>
        <v>7916.3636363636351</v>
      </c>
      <c r="E11" s="16">
        <f>1915+2910</f>
        <v>4825</v>
      </c>
      <c r="F11" s="6">
        <f t="shared" si="2"/>
        <v>4386.363636363636</v>
      </c>
      <c r="G11" s="6">
        <f t="shared" si="3"/>
        <v>438.63636363636363</v>
      </c>
      <c r="H11" s="16">
        <v>210</v>
      </c>
      <c r="I11" s="6">
        <f t="shared" si="4"/>
        <v>175</v>
      </c>
      <c r="J11" s="6">
        <f t="shared" si="5"/>
        <v>35</v>
      </c>
      <c r="K11" s="16">
        <f>1520+3265</f>
        <v>4785</v>
      </c>
      <c r="L11" s="6">
        <f t="shared" si="6"/>
        <v>3987.5</v>
      </c>
      <c r="M11" s="6">
        <f t="shared" si="7"/>
        <v>797.5</v>
      </c>
      <c r="N11" s="16">
        <v>2360</v>
      </c>
      <c r="O11" s="16">
        <f>25205+69335</f>
        <v>94540</v>
      </c>
      <c r="P11" s="6">
        <v>0</v>
      </c>
      <c r="Q11" s="6">
        <v>0</v>
      </c>
      <c r="R11" s="16">
        <v>5050</v>
      </c>
      <c r="S11" s="13"/>
      <c r="T11" s="13"/>
    </row>
    <row r="12" spans="1:32" s="7" customFormat="1" x14ac:dyDescent="0.3">
      <c r="A12" s="5">
        <v>45668</v>
      </c>
      <c r="B12" s="16">
        <f>92252.5+77495</f>
        <v>169747.5</v>
      </c>
      <c r="C12" s="6">
        <f t="shared" si="0"/>
        <v>154315.90909090909</v>
      </c>
      <c r="D12" s="6">
        <f t="shared" si="1"/>
        <v>15431.590909090908</v>
      </c>
      <c r="E12" s="16">
        <f>7537.5+4895</f>
        <v>12432.5</v>
      </c>
      <c r="F12" s="6">
        <f t="shared" si="2"/>
        <v>11302.272727272726</v>
      </c>
      <c r="G12" s="6">
        <f t="shared" si="3"/>
        <v>1130.2272727272727</v>
      </c>
      <c r="H12" s="16">
        <f>700+200</f>
        <v>900</v>
      </c>
      <c r="I12" s="6">
        <f t="shared" si="4"/>
        <v>750</v>
      </c>
      <c r="J12" s="6">
        <f t="shared" si="5"/>
        <v>150</v>
      </c>
      <c r="K12" s="16">
        <f>3104+2800</f>
        <v>5904</v>
      </c>
      <c r="L12" s="6">
        <f t="shared" si="6"/>
        <v>4920</v>
      </c>
      <c r="M12" s="6">
        <f t="shared" si="7"/>
        <v>984</v>
      </c>
      <c r="N12" s="16">
        <v>7290</v>
      </c>
      <c r="O12" s="16">
        <f>96304+85390</f>
        <v>181694</v>
      </c>
      <c r="P12" s="6">
        <v>0</v>
      </c>
      <c r="Q12" s="6">
        <v>0</v>
      </c>
      <c r="R12" s="16">
        <v>2815</v>
      </c>
      <c r="S12" s="13" t="s">
        <v>15</v>
      </c>
      <c r="T12" s="13"/>
    </row>
    <row r="13" spans="1:32" s="7" customFormat="1" x14ac:dyDescent="0.3">
      <c r="A13" s="5">
        <v>45669</v>
      </c>
      <c r="B13" s="16">
        <f>86008.5+121954.5+369</f>
        <v>208332</v>
      </c>
      <c r="C13" s="6">
        <f t="shared" si="0"/>
        <v>189392.72727272726</v>
      </c>
      <c r="D13" s="6">
        <f t="shared" si="1"/>
        <v>18939.272727272728</v>
      </c>
      <c r="E13" s="16">
        <f>4765+9220</f>
        <v>13985</v>
      </c>
      <c r="F13" s="6">
        <f t="shared" si="2"/>
        <v>12713.636363636362</v>
      </c>
      <c r="G13" s="6">
        <f t="shared" si="3"/>
        <v>1271.3636363636363</v>
      </c>
      <c r="H13" s="6">
        <v>0</v>
      </c>
      <c r="I13" s="6">
        <f t="shared" si="4"/>
        <v>0</v>
      </c>
      <c r="J13" s="6">
        <f t="shared" si="5"/>
        <v>0</v>
      </c>
      <c r="K13" s="16">
        <f>320+3520</f>
        <v>3840</v>
      </c>
      <c r="L13" s="6">
        <f t="shared" si="6"/>
        <v>3200</v>
      </c>
      <c r="M13" s="6">
        <f t="shared" si="7"/>
        <v>640</v>
      </c>
      <c r="N13" s="16">
        <f>8785+11340+369</f>
        <v>20494</v>
      </c>
      <c r="O13" s="16">
        <f>82308.5+123354.5</f>
        <v>205663</v>
      </c>
      <c r="P13" s="6">
        <v>0</v>
      </c>
      <c r="Q13" s="6">
        <v>0</v>
      </c>
      <c r="R13" s="6">
        <v>0</v>
      </c>
      <c r="S13" s="13" t="s">
        <v>16</v>
      </c>
      <c r="T13" s="15"/>
    </row>
    <row r="14" spans="1:32" s="7" customFormat="1" x14ac:dyDescent="0.3">
      <c r="A14" s="5">
        <v>45671</v>
      </c>
      <c r="B14" s="16">
        <f>27400+28920</f>
        <v>56320</v>
      </c>
      <c r="C14" s="6">
        <f t="shared" si="0"/>
        <v>51199.999999999993</v>
      </c>
      <c r="D14" s="6">
        <f t="shared" si="1"/>
        <v>5119.9999999999991</v>
      </c>
      <c r="E14" s="16">
        <f>1650+2950</f>
        <v>4600</v>
      </c>
      <c r="F14" s="6">
        <f t="shared" si="2"/>
        <v>4181.8181818181811</v>
      </c>
      <c r="G14" s="6">
        <f t="shared" si="3"/>
        <v>418.18181818181807</v>
      </c>
      <c r="H14" s="16">
        <v>380</v>
      </c>
      <c r="I14" s="6">
        <f t="shared" si="4"/>
        <v>316.66666666666669</v>
      </c>
      <c r="J14" s="6">
        <f t="shared" si="5"/>
        <v>63.333333333333343</v>
      </c>
      <c r="K14" s="16">
        <f>480+1200</f>
        <v>1680</v>
      </c>
      <c r="L14" s="6">
        <f t="shared" si="6"/>
        <v>1400</v>
      </c>
      <c r="M14" s="6">
        <f t="shared" si="7"/>
        <v>280</v>
      </c>
      <c r="N14" s="16">
        <v>5975</v>
      </c>
      <c r="O14" s="16">
        <f>29530+27475</f>
        <v>57005</v>
      </c>
      <c r="P14" s="6">
        <v>0</v>
      </c>
      <c r="Q14" s="6">
        <v>0</v>
      </c>
      <c r="R14" s="6">
        <v>0</v>
      </c>
      <c r="S14" s="13" t="s">
        <v>17</v>
      </c>
      <c r="T14" s="13"/>
    </row>
    <row r="15" spans="1:32" s="7" customFormat="1" x14ac:dyDescent="0.3">
      <c r="A15" s="5">
        <v>45672</v>
      </c>
      <c r="B15" s="16">
        <f>27540+23400</f>
        <v>50940</v>
      </c>
      <c r="C15" s="6">
        <f t="shared" si="0"/>
        <v>46309.090909090904</v>
      </c>
      <c r="D15" s="6">
        <f t="shared" si="1"/>
        <v>4630.909090909091</v>
      </c>
      <c r="E15" s="16">
        <f>2435+865</f>
        <v>3300</v>
      </c>
      <c r="F15" s="6">
        <f t="shared" si="2"/>
        <v>2999.9999999999995</v>
      </c>
      <c r="G15" s="6">
        <f t="shared" si="3"/>
        <v>299.99999999999994</v>
      </c>
      <c r="H15" s="11">
        <v>0</v>
      </c>
      <c r="I15" s="6">
        <f t="shared" si="4"/>
        <v>0</v>
      </c>
      <c r="J15" s="6">
        <f t="shared" si="5"/>
        <v>0</v>
      </c>
      <c r="K15" s="16">
        <f>720+1280</f>
        <v>2000</v>
      </c>
      <c r="L15" s="6">
        <f t="shared" si="6"/>
        <v>1666.6666666666667</v>
      </c>
      <c r="M15" s="6">
        <f t="shared" si="7"/>
        <v>333.33333333333337</v>
      </c>
      <c r="N15" s="16">
        <v>6940</v>
      </c>
      <c r="O15" s="16">
        <f>23755+25545</f>
        <v>49300</v>
      </c>
      <c r="P15" s="6">
        <v>0</v>
      </c>
      <c r="Q15" s="6">
        <v>0</v>
      </c>
      <c r="R15" s="6">
        <v>0</v>
      </c>
      <c r="S15" s="13"/>
      <c r="T15" s="13"/>
    </row>
    <row r="16" spans="1:32" s="7" customFormat="1" x14ac:dyDescent="0.3">
      <c r="A16" s="5">
        <v>45673</v>
      </c>
      <c r="B16" s="16">
        <f>2780+7705+40130</f>
        <v>50615</v>
      </c>
      <c r="C16" s="6">
        <f t="shared" si="0"/>
        <v>46013.63636363636</v>
      </c>
      <c r="D16" s="6">
        <f t="shared" si="1"/>
        <v>4601.363636363636</v>
      </c>
      <c r="E16" s="16">
        <f>410+1125+2725</f>
        <v>4260</v>
      </c>
      <c r="F16" s="6">
        <f t="shared" si="2"/>
        <v>3872.7272727272725</v>
      </c>
      <c r="G16" s="6">
        <f t="shared" si="3"/>
        <v>387.27272727272725</v>
      </c>
      <c r="H16" s="16">
        <f>1200+460</f>
        <v>1660</v>
      </c>
      <c r="I16" s="6">
        <f t="shared" si="4"/>
        <v>1383.3333333333335</v>
      </c>
      <c r="J16" s="6">
        <f t="shared" si="5"/>
        <v>276.66666666666674</v>
      </c>
      <c r="K16" s="16">
        <f>160+640+800</f>
        <v>1600</v>
      </c>
      <c r="L16" s="6">
        <f t="shared" si="6"/>
        <v>1333.3333333333335</v>
      </c>
      <c r="M16" s="6">
        <f t="shared" si="7"/>
        <v>266.66666666666674</v>
      </c>
      <c r="N16" s="16">
        <v>95</v>
      </c>
      <c r="O16" s="16">
        <f>4550+9470+44020</f>
        <v>58040</v>
      </c>
      <c r="P16" s="6">
        <v>0</v>
      </c>
      <c r="Q16" s="6">
        <v>0</v>
      </c>
      <c r="R16" s="16">
        <v>14170</v>
      </c>
      <c r="S16" s="13" t="s">
        <v>18</v>
      </c>
      <c r="T16" s="13"/>
    </row>
    <row r="17" spans="1:20" s="7" customFormat="1" x14ac:dyDescent="0.3">
      <c r="A17" s="5">
        <v>45674</v>
      </c>
      <c r="B17" s="16">
        <f>41500+24410</f>
        <v>65910</v>
      </c>
      <c r="C17" s="6">
        <f t="shared" si="0"/>
        <v>59918.181818181816</v>
      </c>
      <c r="D17" s="6">
        <f t="shared" si="1"/>
        <v>5991.8181818181811</v>
      </c>
      <c r="E17" s="16">
        <f>1975+1500</f>
        <v>3475</v>
      </c>
      <c r="F17" s="6">
        <f t="shared" si="2"/>
        <v>3159.090909090909</v>
      </c>
      <c r="G17" s="6">
        <f t="shared" si="3"/>
        <v>315.90909090909088</v>
      </c>
      <c r="H17" s="6">
        <v>0</v>
      </c>
      <c r="I17" s="6">
        <f t="shared" si="4"/>
        <v>0</v>
      </c>
      <c r="J17" s="6">
        <f t="shared" si="5"/>
        <v>0</v>
      </c>
      <c r="K17" s="16">
        <f>640+1520</f>
        <v>2160</v>
      </c>
      <c r="L17" s="6">
        <f t="shared" si="6"/>
        <v>1800</v>
      </c>
      <c r="M17" s="6">
        <f t="shared" si="7"/>
        <v>360</v>
      </c>
      <c r="N17" s="16">
        <f>5660+2230</f>
        <v>7890</v>
      </c>
      <c r="O17" s="16">
        <f>38455+25200</f>
        <v>63655</v>
      </c>
      <c r="P17" s="6">
        <v>0</v>
      </c>
      <c r="Q17" s="6">
        <v>0</v>
      </c>
      <c r="R17" s="6">
        <v>0</v>
      </c>
      <c r="S17" s="13"/>
      <c r="T17" s="13"/>
    </row>
    <row r="18" spans="1:20" s="7" customFormat="1" x14ac:dyDescent="0.3">
      <c r="A18" s="5">
        <v>45675</v>
      </c>
      <c r="B18" s="16">
        <f>84755+95260</f>
        <v>180015</v>
      </c>
      <c r="C18" s="6">
        <f t="shared" si="0"/>
        <v>163650</v>
      </c>
      <c r="D18" s="6">
        <f t="shared" si="1"/>
        <v>16365</v>
      </c>
      <c r="E18" s="16">
        <f>2865+6545</f>
        <v>9410</v>
      </c>
      <c r="F18" s="6">
        <f t="shared" si="2"/>
        <v>8554.545454545454</v>
      </c>
      <c r="G18" s="6">
        <f t="shared" si="3"/>
        <v>855.4545454545455</v>
      </c>
      <c r="H18" s="6">
        <v>0</v>
      </c>
      <c r="I18" s="6">
        <f t="shared" si="4"/>
        <v>0</v>
      </c>
      <c r="J18" s="6">
        <f t="shared" si="5"/>
        <v>0</v>
      </c>
      <c r="K18" s="16">
        <f>1680+2480</f>
        <v>4160</v>
      </c>
      <c r="L18" s="6">
        <f t="shared" si="6"/>
        <v>3466.666666666667</v>
      </c>
      <c r="M18" s="6">
        <f t="shared" si="7"/>
        <v>693.33333333333348</v>
      </c>
      <c r="N18" s="16">
        <f>1790+11570</f>
        <v>13360</v>
      </c>
      <c r="O18" s="16">
        <f>87510+92715</f>
        <v>180225</v>
      </c>
      <c r="P18" s="6">
        <v>0</v>
      </c>
      <c r="Q18" s="6">
        <v>0</v>
      </c>
      <c r="R18" s="16">
        <v>6790</v>
      </c>
      <c r="S18" s="13"/>
      <c r="T18" s="13"/>
    </row>
    <row r="19" spans="1:20" s="7" customFormat="1" x14ac:dyDescent="0.3">
      <c r="A19" s="5">
        <v>45676</v>
      </c>
      <c r="B19" s="16">
        <f>94285+107662.5</f>
        <v>201947.5</v>
      </c>
      <c r="C19" s="6">
        <f t="shared" si="0"/>
        <v>183588.63636363635</v>
      </c>
      <c r="D19" s="6">
        <f t="shared" si="1"/>
        <v>18358.863636363636</v>
      </c>
      <c r="E19" s="16">
        <f>6525+7965</f>
        <v>14490</v>
      </c>
      <c r="F19" s="6">
        <f t="shared" si="2"/>
        <v>13172.727272727272</v>
      </c>
      <c r="G19" s="6">
        <f t="shared" si="3"/>
        <v>1317.272727272727</v>
      </c>
      <c r="H19" s="16">
        <f>800+420</f>
        <v>1220</v>
      </c>
      <c r="I19" s="6">
        <f t="shared" si="4"/>
        <v>1016.6666666666667</v>
      </c>
      <c r="J19" s="6">
        <f t="shared" si="5"/>
        <v>203.33333333333337</v>
      </c>
      <c r="K19" s="16">
        <f>2800+240</f>
        <v>3040</v>
      </c>
      <c r="L19" s="6">
        <f t="shared" si="6"/>
        <v>2533.3333333333335</v>
      </c>
      <c r="M19" s="6">
        <f t="shared" si="7"/>
        <v>506.66666666666674</v>
      </c>
      <c r="N19" s="16">
        <f>1900+5850</f>
        <v>7750</v>
      </c>
      <c r="O19" s="16">
        <f>102510+110437.5</f>
        <v>212947.5</v>
      </c>
      <c r="P19" s="6">
        <v>0</v>
      </c>
      <c r="Q19" s="6">
        <v>0</v>
      </c>
      <c r="R19" s="16">
        <f>11200+36185</f>
        <v>47385</v>
      </c>
      <c r="S19" s="13"/>
      <c r="T19" s="13"/>
    </row>
    <row r="20" spans="1:20" s="7" customFormat="1" x14ac:dyDescent="0.3">
      <c r="A20" s="5">
        <v>45678</v>
      </c>
      <c r="B20" s="16">
        <f>32395+40810</f>
        <v>73205</v>
      </c>
      <c r="C20" s="6">
        <f t="shared" si="0"/>
        <v>66550</v>
      </c>
      <c r="D20" s="6">
        <f t="shared" si="1"/>
        <v>6655</v>
      </c>
      <c r="E20" s="16">
        <f>2265+1430</f>
        <v>3695</v>
      </c>
      <c r="F20" s="6">
        <f t="shared" si="2"/>
        <v>3359.090909090909</v>
      </c>
      <c r="G20" s="6">
        <f t="shared" si="3"/>
        <v>335.90909090909088</v>
      </c>
      <c r="H20" s="6">
        <v>0</v>
      </c>
      <c r="I20" s="6">
        <f t="shared" si="4"/>
        <v>0</v>
      </c>
      <c r="J20" s="6">
        <f t="shared" si="5"/>
        <v>0</v>
      </c>
      <c r="K20" s="16">
        <f>1600+1200</f>
        <v>2800</v>
      </c>
      <c r="L20" s="6">
        <f t="shared" si="6"/>
        <v>2333.3333333333335</v>
      </c>
      <c r="M20" s="6">
        <f t="shared" si="7"/>
        <v>466.66666666666674</v>
      </c>
      <c r="N20" s="16">
        <f>4914+1790</f>
        <v>6704</v>
      </c>
      <c r="O20" s="16">
        <f>31346+41650</f>
        <v>72996</v>
      </c>
      <c r="P20" s="6">
        <v>0</v>
      </c>
      <c r="Q20" s="6">
        <v>0</v>
      </c>
      <c r="R20" s="6">
        <v>0</v>
      </c>
      <c r="S20" s="13"/>
      <c r="T20" s="13"/>
    </row>
    <row r="21" spans="1:20" s="7" customFormat="1" x14ac:dyDescent="0.3">
      <c r="A21" s="5">
        <v>45679</v>
      </c>
      <c r="B21" s="16">
        <f>46030+23430</f>
        <v>69460</v>
      </c>
      <c r="C21" s="6">
        <f t="shared" si="0"/>
        <v>63145.454545454537</v>
      </c>
      <c r="D21" s="6">
        <f t="shared" si="1"/>
        <v>6314.545454545454</v>
      </c>
      <c r="E21" s="16">
        <f>1280+3425</f>
        <v>4705</v>
      </c>
      <c r="F21" s="6">
        <f t="shared" si="2"/>
        <v>4277.272727272727</v>
      </c>
      <c r="G21" s="6">
        <f t="shared" si="3"/>
        <v>427.72727272727275</v>
      </c>
      <c r="H21" s="16">
        <f>250+600</f>
        <v>850</v>
      </c>
      <c r="I21" s="6">
        <f t="shared" si="4"/>
        <v>708.33333333333337</v>
      </c>
      <c r="J21" s="6">
        <f t="shared" si="5"/>
        <v>141.66666666666669</v>
      </c>
      <c r="K21" s="16">
        <f>1600+1040</f>
        <v>2640</v>
      </c>
      <c r="L21" s="6">
        <f t="shared" si="6"/>
        <v>2200</v>
      </c>
      <c r="M21" s="6">
        <f t="shared" si="7"/>
        <v>440</v>
      </c>
      <c r="N21" s="16">
        <v>5655</v>
      </c>
      <c r="O21" s="16">
        <f>26560+45440</f>
        <v>72000</v>
      </c>
      <c r="P21" s="6">
        <v>0</v>
      </c>
      <c r="Q21" s="6">
        <v>0</v>
      </c>
      <c r="R21" s="6">
        <v>0</v>
      </c>
      <c r="S21" s="13"/>
      <c r="T21" s="13"/>
    </row>
    <row r="22" spans="1:20" s="7" customFormat="1" x14ac:dyDescent="0.3">
      <c r="A22" s="5">
        <v>45680</v>
      </c>
      <c r="B22" s="16">
        <f>10830+47140</f>
        <v>57970</v>
      </c>
      <c r="C22" s="6">
        <f t="shared" si="0"/>
        <v>52699.999999999993</v>
      </c>
      <c r="D22" s="6">
        <f t="shared" si="1"/>
        <v>5269.9999999999991</v>
      </c>
      <c r="E22" s="16">
        <f>1035+2030</f>
        <v>3065</v>
      </c>
      <c r="F22" s="6">
        <f t="shared" si="2"/>
        <v>2786.363636363636</v>
      </c>
      <c r="G22" s="6">
        <f t="shared" si="3"/>
        <v>278.63636363636363</v>
      </c>
      <c r="H22" s="16">
        <v>370</v>
      </c>
      <c r="I22" s="6">
        <f t="shared" si="4"/>
        <v>308.33333333333337</v>
      </c>
      <c r="J22" s="6">
        <f t="shared" si="5"/>
        <v>61.666666666666679</v>
      </c>
      <c r="K22" s="16">
        <f>640+1040</f>
        <v>1680</v>
      </c>
      <c r="L22" s="6">
        <f t="shared" si="6"/>
        <v>1400</v>
      </c>
      <c r="M22" s="6">
        <f t="shared" si="7"/>
        <v>280</v>
      </c>
      <c r="N22" s="16">
        <f>3865</f>
        <v>3865</v>
      </c>
      <c r="O22" s="16">
        <f>12505+46715</f>
        <v>59220</v>
      </c>
      <c r="P22" s="6">
        <v>0</v>
      </c>
      <c r="Q22" s="6">
        <v>0</v>
      </c>
      <c r="R22" s="16">
        <v>20400</v>
      </c>
      <c r="S22" s="13"/>
      <c r="T22" s="15"/>
    </row>
    <row r="23" spans="1:20" s="7" customFormat="1" x14ac:dyDescent="0.3">
      <c r="A23" s="5">
        <v>45681</v>
      </c>
      <c r="B23" s="16">
        <f>31500+61955</f>
        <v>93455</v>
      </c>
      <c r="C23" s="6">
        <f t="shared" si="0"/>
        <v>84959.090909090897</v>
      </c>
      <c r="D23" s="6">
        <f t="shared" si="1"/>
        <v>8495.9090909090901</v>
      </c>
      <c r="E23" s="16">
        <f>1805+5240</f>
        <v>7045</v>
      </c>
      <c r="F23" s="6">
        <f t="shared" si="2"/>
        <v>6404.545454545454</v>
      </c>
      <c r="G23" s="6">
        <f t="shared" si="3"/>
        <v>640.4545454545455</v>
      </c>
      <c r="H23" s="6">
        <v>0</v>
      </c>
      <c r="I23" s="6">
        <f t="shared" si="4"/>
        <v>0</v>
      </c>
      <c r="J23" s="6">
        <f t="shared" si="5"/>
        <v>0</v>
      </c>
      <c r="K23" s="16">
        <f>1520+2080</f>
        <v>3600</v>
      </c>
      <c r="L23" s="6">
        <f t="shared" si="6"/>
        <v>3000</v>
      </c>
      <c r="M23" s="6">
        <f t="shared" si="7"/>
        <v>600</v>
      </c>
      <c r="N23" s="16">
        <f>2375+8354</f>
        <v>10729</v>
      </c>
      <c r="O23" s="16">
        <f>32450+60921</f>
        <v>93371</v>
      </c>
      <c r="P23" s="6">
        <v>0</v>
      </c>
      <c r="Q23" s="6">
        <v>0</v>
      </c>
      <c r="R23" s="6">
        <v>0</v>
      </c>
      <c r="S23" s="13"/>
      <c r="T23" s="13"/>
    </row>
    <row r="24" spans="1:20" s="7" customFormat="1" x14ac:dyDescent="0.3">
      <c r="A24" s="5">
        <v>45682</v>
      </c>
      <c r="B24" s="16">
        <f>80875+73147.5</f>
        <v>154022.5</v>
      </c>
      <c r="C24" s="6">
        <f t="shared" si="0"/>
        <v>140020.45454545453</v>
      </c>
      <c r="D24" s="6">
        <f t="shared" si="1"/>
        <v>14002.045454545454</v>
      </c>
      <c r="E24" s="16">
        <f>5510+5620</f>
        <v>11130</v>
      </c>
      <c r="F24" s="6">
        <f t="shared" si="2"/>
        <v>10118.181818181818</v>
      </c>
      <c r="G24" s="6">
        <f t="shared" si="3"/>
        <v>1011.8181818181818</v>
      </c>
      <c r="H24" s="16">
        <v>600</v>
      </c>
      <c r="I24" s="6">
        <f t="shared" si="4"/>
        <v>500</v>
      </c>
      <c r="J24" s="6">
        <f t="shared" si="5"/>
        <v>100</v>
      </c>
      <c r="K24" s="16">
        <f>1840+2240</f>
        <v>4080</v>
      </c>
      <c r="L24" s="6">
        <f t="shared" si="6"/>
        <v>3400</v>
      </c>
      <c r="M24" s="6">
        <f t="shared" si="7"/>
        <v>680</v>
      </c>
      <c r="N24" s="16">
        <v>5755</v>
      </c>
      <c r="O24" s="16">
        <f>88825+75252.5</f>
        <v>164077.5</v>
      </c>
      <c r="P24" s="6">
        <v>0</v>
      </c>
      <c r="Q24" s="6">
        <v>0</v>
      </c>
      <c r="R24" s="16">
        <v>7210</v>
      </c>
      <c r="S24" s="13"/>
      <c r="T24" s="13"/>
    </row>
    <row r="25" spans="1:20" s="7" customFormat="1" x14ac:dyDescent="0.3">
      <c r="A25" s="5">
        <v>45683</v>
      </c>
      <c r="B25" s="16">
        <f>111580+96765</f>
        <v>208345</v>
      </c>
      <c r="C25" s="6">
        <f t="shared" si="0"/>
        <v>189404.54545454544</v>
      </c>
      <c r="D25" s="6">
        <f t="shared" si="1"/>
        <v>18940.454545454544</v>
      </c>
      <c r="E25" s="16">
        <f>5025+7535</f>
        <v>12560</v>
      </c>
      <c r="F25" s="6">
        <f t="shared" si="2"/>
        <v>11418.181818181818</v>
      </c>
      <c r="G25" s="6">
        <f t="shared" si="3"/>
        <v>1141.8181818181818</v>
      </c>
      <c r="H25" s="6">
        <v>0</v>
      </c>
      <c r="I25" s="6">
        <f t="shared" si="4"/>
        <v>0</v>
      </c>
      <c r="J25" s="6">
        <f t="shared" si="5"/>
        <v>0</v>
      </c>
      <c r="K25" s="16">
        <f>1600+2160</f>
        <v>3760</v>
      </c>
      <c r="L25" s="6">
        <f t="shared" si="6"/>
        <v>3133.3333333333335</v>
      </c>
      <c r="M25" s="6">
        <f t="shared" si="7"/>
        <v>626.66666666666674</v>
      </c>
      <c r="N25" s="16">
        <f>13162+7455</f>
        <v>20617</v>
      </c>
      <c r="O25" s="16">
        <f>105043+92945</f>
        <v>197988</v>
      </c>
      <c r="P25" s="16">
        <v>6060</v>
      </c>
      <c r="Q25" s="6">
        <v>0</v>
      </c>
      <c r="R25" s="6">
        <v>0</v>
      </c>
      <c r="S25" s="13"/>
      <c r="T25" s="13"/>
    </row>
    <row r="26" spans="1:20" s="7" customFormat="1" x14ac:dyDescent="0.3">
      <c r="A26" s="5">
        <v>45685</v>
      </c>
      <c r="B26" s="16">
        <f>69010+28115</f>
        <v>97125</v>
      </c>
      <c r="C26" s="6">
        <f t="shared" ref="C26:C29" si="8">B26/1.1</f>
        <v>88295.454545454544</v>
      </c>
      <c r="D26" s="6">
        <f t="shared" ref="D26:D29" si="9">C26*10/100</f>
        <v>8829.545454545454</v>
      </c>
      <c r="E26" s="16">
        <f>3300+1575</f>
        <v>4875</v>
      </c>
      <c r="F26" s="6">
        <f t="shared" ref="F26:F29" si="10">E26/1.1</f>
        <v>4431.8181818181811</v>
      </c>
      <c r="G26" s="6">
        <f t="shared" ref="G26:G29" si="11">F26*10/100</f>
        <v>443.18181818181807</v>
      </c>
      <c r="H26" s="16">
        <v>400</v>
      </c>
      <c r="I26" s="6">
        <f t="shared" ref="I26:I29" si="12">H26/1.2</f>
        <v>333.33333333333337</v>
      </c>
      <c r="J26" s="6">
        <f t="shared" ref="J26:J29" si="13">I26*20/100</f>
        <v>66.666666666666686</v>
      </c>
      <c r="K26" s="16">
        <f>960+1280</f>
        <v>2240</v>
      </c>
      <c r="L26" s="6">
        <f t="shared" ref="L26:L29" si="14">K26/1.2</f>
        <v>1866.6666666666667</v>
      </c>
      <c r="M26" s="6">
        <f t="shared" ref="M26:M29" si="15">L26*20/100</f>
        <v>373.33333333333337</v>
      </c>
      <c r="N26" s="16">
        <v>4955</v>
      </c>
      <c r="O26" s="16">
        <f>68715+30970</f>
        <v>99685</v>
      </c>
      <c r="P26" s="6">
        <v>0</v>
      </c>
      <c r="Q26" s="6">
        <v>0</v>
      </c>
      <c r="R26" s="6">
        <v>0</v>
      </c>
      <c r="S26" s="13"/>
      <c r="T26" s="13"/>
    </row>
    <row r="27" spans="1:20" s="7" customFormat="1" x14ac:dyDescent="0.3">
      <c r="A27" s="5">
        <v>45686</v>
      </c>
      <c r="B27" s="16">
        <f>40398+39352</f>
        <v>79750</v>
      </c>
      <c r="C27" s="6">
        <f t="shared" si="8"/>
        <v>72500</v>
      </c>
      <c r="D27" s="6">
        <f t="shared" si="9"/>
        <v>7250</v>
      </c>
      <c r="E27" s="16">
        <f>4125+1990</f>
        <v>6115</v>
      </c>
      <c r="F27" s="6">
        <f t="shared" si="10"/>
        <v>5559.090909090909</v>
      </c>
      <c r="G27" s="6">
        <f t="shared" si="11"/>
        <v>555.90909090909088</v>
      </c>
      <c r="H27" s="11">
        <v>0</v>
      </c>
      <c r="I27" s="6">
        <f t="shared" si="12"/>
        <v>0</v>
      </c>
      <c r="J27" s="6">
        <f t="shared" si="13"/>
        <v>0</v>
      </c>
      <c r="K27" s="16">
        <v>3520</v>
      </c>
      <c r="L27" s="6">
        <f t="shared" si="14"/>
        <v>2933.3333333333335</v>
      </c>
      <c r="M27" s="6">
        <f t="shared" si="15"/>
        <v>586.66666666666674</v>
      </c>
      <c r="N27" s="16">
        <v>11643</v>
      </c>
      <c r="O27" s="16">
        <f>35280+42462</f>
        <v>77742</v>
      </c>
      <c r="P27" s="6">
        <v>0</v>
      </c>
      <c r="Q27" s="6">
        <v>0</v>
      </c>
      <c r="R27" s="6">
        <v>0</v>
      </c>
      <c r="S27" s="13" t="s">
        <v>19</v>
      </c>
      <c r="T27" s="13"/>
    </row>
    <row r="28" spans="1:20" s="7" customFormat="1" x14ac:dyDescent="0.3">
      <c r="A28" s="5">
        <v>45687</v>
      </c>
      <c r="B28" s="16">
        <f>38139+49820</f>
        <v>87959</v>
      </c>
      <c r="C28" s="6">
        <f t="shared" si="8"/>
        <v>79962.727272727265</v>
      </c>
      <c r="D28" s="6">
        <f t="shared" si="9"/>
        <v>7996.272727272727</v>
      </c>
      <c r="E28" s="16">
        <f>2650+2835</f>
        <v>5485</v>
      </c>
      <c r="F28" s="6">
        <f t="shared" si="10"/>
        <v>4986.363636363636</v>
      </c>
      <c r="G28" s="6">
        <f t="shared" si="11"/>
        <v>498.63636363636363</v>
      </c>
      <c r="H28" s="11">
        <v>0</v>
      </c>
      <c r="I28" s="6">
        <f t="shared" si="12"/>
        <v>0</v>
      </c>
      <c r="J28" s="6">
        <f t="shared" si="13"/>
        <v>0</v>
      </c>
      <c r="K28" s="16">
        <v>1760</v>
      </c>
      <c r="L28" s="6">
        <f t="shared" si="14"/>
        <v>1466.6666666666667</v>
      </c>
      <c r="M28" s="6">
        <f t="shared" si="15"/>
        <v>293.33333333333337</v>
      </c>
      <c r="N28" s="16">
        <f>3661+1890</f>
        <v>5551</v>
      </c>
      <c r="O28" s="16">
        <f>37768+51885</f>
        <v>89653</v>
      </c>
      <c r="P28" s="6">
        <v>0</v>
      </c>
      <c r="Q28" s="6">
        <v>0</v>
      </c>
      <c r="R28" s="16">
        <v>20800</v>
      </c>
      <c r="S28" s="13"/>
      <c r="T28" s="13"/>
    </row>
    <row r="29" spans="1:20" s="7" customFormat="1" x14ac:dyDescent="0.3">
      <c r="A29" s="5">
        <v>45688</v>
      </c>
      <c r="B29" s="16">
        <f>65290+17285</f>
        <v>82575</v>
      </c>
      <c r="C29" s="6">
        <f t="shared" si="8"/>
        <v>75068.181818181809</v>
      </c>
      <c r="D29" s="6">
        <f t="shared" si="9"/>
        <v>7506.8181818181811</v>
      </c>
      <c r="E29" s="16">
        <f>5845+1405</f>
        <v>7250</v>
      </c>
      <c r="F29" s="6">
        <f t="shared" si="10"/>
        <v>6590.9090909090901</v>
      </c>
      <c r="G29" s="6">
        <f t="shared" si="11"/>
        <v>659.09090909090901</v>
      </c>
      <c r="H29" s="16">
        <v>780</v>
      </c>
      <c r="I29" s="6">
        <f t="shared" si="12"/>
        <v>650</v>
      </c>
      <c r="J29" s="6">
        <f t="shared" si="13"/>
        <v>130</v>
      </c>
      <c r="K29" s="16">
        <f>1280+1440</f>
        <v>2720</v>
      </c>
      <c r="L29" s="6">
        <f t="shared" si="14"/>
        <v>2266.666666666667</v>
      </c>
      <c r="M29" s="6">
        <f t="shared" si="15"/>
        <v>453.33333333333343</v>
      </c>
      <c r="N29" s="16">
        <f>3815+1915</f>
        <v>5730</v>
      </c>
      <c r="O29" s="16">
        <f>68600+18995</f>
        <v>87595</v>
      </c>
      <c r="P29" s="6">
        <v>0</v>
      </c>
      <c r="Q29" s="6">
        <v>0</v>
      </c>
      <c r="R29" s="6">
        <v>0</v>
      </c>
      <c r="S29" s="13"/>
      <c r="T29" s="13"/>
    </row>
    <row r="30" spans="1:20" s="7" customFormat="1" ht="15.6" x14ac:dyDescent="0.3">
      <c r="A30" s="8"/>
      <c r="B30" s="9">
        <f>SUM(B3:B29)</f>
        <v>2980407.5</v>
      </c>
      <c r="C30" s="9"/>
      <c r="D30" s="9"/>
      <c r="E30" s="9">
        <f>SUM(E3:E29)</f>
        <v>197407</v>
      </c>
      <c r="F30" s="9"/>
      <c r="G30" s="9"/>
      <c r="H30" s="9">
        <f>SUM(H3:H29)</f>
        <v>11480</v>
      </c>
      <c r="I30" s="9"/>
      <c r="J30" s="9"/>
      <c r="K30" s="9">
        <f>SUM(K3:K29)</f>
        <v>80685</v>
      </c>
      <c r="L30" s="9"/>
      <c r="M30" s="9"/>
      <c r="N30" s="9">
        <f>SUM(N3:N29)</f>
        <v>196076</v>
      </c>
      <c r="O30" s="9">
        <f>SUM(O3:O29)</f>
        <v>3067843.5</v>
      </c>
      <c r="P30" s="9">
        <f>SUM(P3:P29)</f>
        <v>6060</v>
      </c>
      <c r="Q30" s="9">
        <f>SUM(Q3:Q29)</f>
        <v>0</v>
      </c>
      <c r="R30" s="9">
        <f>SUM(R3:R29)</f>
        <v>181825</v>
      </c>
      <c r="S30" s="14"/>
      <c r="T30" s="8"/>
    </row>
    <row r="32" spans="1:20" x14ac:dyDescent="0.3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</row>
    <row r="34" spans="2:14" x14ac:dyDescent="0.3">
      <c r="B34" s="18"/>
      <c r="E34" s="18"/>
      <c r="H34" s="18"/>
      <c r="K34" s="18"/>
      <c r="N34" s="18"/>
    </row>
  </sheetData>
  <mergeCells count="1">
    <mergeCell ref="Q1:R1"/>
  </mergeCells>
  <pageMargins left="0.25" right="0.25" top="0.75" bottom="0.75" header="0.3" footer="0.3"/>
  <pageSetup paperSize="9" scale="4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2"/>
  <sheetViews>
    <sheetView topLeftCell="A25" workbookViewId="0">
      <selection activeCell="J44" sqref="J44"/>
    </sheetView>
  </sheetViews>
  <sheetFormatPr defaultRowHeight="14.4" x14ac:dyDescent="0.3"/>
  <cols>
    <col min="1" max="1" width="12.109375" style="47" bestFit="1" customWidth="1"/>
    <col min="2" max="4" width="11.6640625" style="41" bestFit="1" customWidth="1"/>
    <col min="5" max="5" width="10.109375" style="41" bestFit="1" customWidth="1"/>
    <col min="6" max="6" width="11.6640625" style="41" bestFit="1" customWidth="1"/>
    <col min="7" max="8" width="11.5546875" style="41" bestFit="1" customWidth="1"/>
    <col min="9" max="9" width="10" style="41" bestFit="1" customWidth="1"/>
    <col min="10" max="10" width="11.6640625" style="41" bestFit="1" customWidth="1"/>
    <col min="11" max="11" width="16.5546875" style="41" bestFit="1" customWidth="1"/>
    <col min="12" max="13" width="8" style="41" bestFit="1" customWidth="1"/>
    <col min="14" max="14" width="10.109375" style="41" bestFit="1" customWidth="1"/>
    <col min="15" max="15" width="11.6640625" style="41" bestFit="1" customWidth="1"/>
    <col min="16" max="16" width="10.21875" style="41" bestFit="1" customWidth="1"/>
    <col min="17" max="17" width="9.109375" style="41" bestFit="1" customWidth="1"/>
    <col min="18" max="18" width="11.44140625" style="41" bestFit="1" customWidth="1"/>
    <col min="19" max="19" width="15.5546875" style="47" bestFit="1" customWidth="1"/>
    <col min="20" max="16384" width="8.88671875" style="41"/>
  </cols>
  <sheetData>
    <row r="1" spans="1:19" x14ac:dyDescent="0.3">
      <c r="A1" s="39" t="s">
        <v>0</v>
      </c>
      <c r="B1" s="40" t="s">
        <v>1</v>
      </c>
      <c r="C1" s="40"/>
      <c r="D1" s="40"/>
      <c r="E1" s="40" t="s">
        <v>2</v>
      </c>
      <c r="F1" s="40"/>
      <c r="G1" s="40"/>
      <c r="H1" s="40" t="s">
        <v>3</v>
      </c>
      <c r="I1" s="40"/>
      <c r="J1" s="40"/>
      <c r="K1" s="40" t="s">
        <v>4</v>
      </c>
      <c r="L1" s="40"/>
      <c r="M1" s="40"/>
      <c r="N1" s="40" t="s">
        <v>5</v>
      </c>
      <c r="O1" s="40" t="s">
        <v>6</v>
      </c>
      <c r="P1" s="40" t="s">
        <v>7</v>
      </c>
      <c r="Q1" s="68" t="s">
        <v>8</v>
      </c>
      <c r="R1" s="68"/>
      <c r="S1" s="39" t="s">
        <v>9</v>
      </c>
    </row>
    <row r="2" spans="1:19" x14ac:dyDescent="0.3">
      <c r="A2" s="42"/>
      <c r="B2" s="43">
        <v>0.1</v>
      </c>
      <c r="C2" s="43"/>
      <c r="D2" s="43"/>
      <c r="E2" s="43">
        <v>0.1</v>
      </c>
      <c r="F2" s="43"/>
      <c r="G2" s="43"/>
      <c r="H2" s="43">
        <v>0.2</v>
      </c>
      <c r="I2" s="43"/>
      <c r="J2" s="43"/>
      <c r="K2" s="43">
        <v>0.2</v>
      </c>
      <c r="L2" s="43"/>
      <c r="M2" s="43"/>
      <c r="N2" s="39"/>
      <c r="O2" s="39"/>
      <c r="P2" s="39"/>
      <c r="Q2" s="39" t="s">
        <v>5</v>
      </c>
      <c r="R2" s="39" t="s">
        <v>11</v>
      </c>
      <c r="S2" s="44"/>
    </row>
    <row r="3" spans="1:19" x14ac:dyDescent="0.3">
      <c r="A3" s="42">
        <v>45902</v>
      </c>
      <c r="B3" s="16">
        <f>20460+80285.43</f>
        <v>100745.43</v>
      </c>
      <c r="C3" s="45">
        <f>B3/1.1</f>
        <v>91586.754545454532</v>
      </c>
      <c r="D3" s="45">
        <f>C3*10/100</f>
        <v>9158.6754545454532</v>
      </c>
      <c r="E3" s="16">
        <f>2300+10099.57</f>
        <v>12399.57</v>
      </c>
      <c r="F3" s="45">
        <f>E3/1.1</f>
        <v>11272.336363636363</v>
      </c>
      <c r="G3" s="45">
        <f>F3*10/100</f>
        <v>1127.2336363636364</v>
      </c>
      <c r="H3" s="45">
        <v>0</v>
      </c>
      <c r="I3" s="45">
        <f>H3/1.2</f>
        <v>0</v>
      </c>
      <c r="J3" s="45">
        <f>I3*20/100</f>
        <v>0</v>
      </c>
      <c r="K3" s="16">
        <f>1800+4440</f>
        <v>6240</v>
      </c>
      <c r="L3" s="45">
        <f>K3/1.2</f>
        <v>5200</v>
      </c>
      <c r="M3" s="45">
        <f>L3*20/100</f>
        <v>1040</v>
      </c>
      <c r="N3" s="16">
        <f>3335+6990</f>
        <v>10325</v>
      </c>
      <c r="O3" s="16">
        <f>21225+87835</f>
        <v>109060</v>
      </c>
      <c r="P3" s="45">
        <v>0</v>
      </c>
      <c r="Q3" s="45">
        <v>0</v>
      </c>
      <c r="R3" s="16">
        <v>12220</v>
      </c>
      <c r="S3" s="44"/>
    </row>
    <row r="4" spans="1:19" x14ac:dyDescent="0.3">
      <c r="A4" s="42">
        <v>45903</v>
      </c>
      <c r="B4" s="16">
        <f>35082.5+43535</f>
        <v>78617.5</v>
      </c>
      <c r="C4" s="45">
        <f t="shared" ref="C4:C27" si="0">B4/1.1</f>
        <v>71470.454545454544</v>
      </c>
      <c r="D4" s="45">
        <f t="shared" ref="D4:D27" si="1">C4*10/100</f>
        <v>7147.045454545454</v>
      </c>
      <c r="E4" s="16">
        <f>2630+5225</f>
        <v>7855</v>
      </c>
      <c r="F4" s="45">
        <f t="shared" ref="F4:F27" si="2">E4/1.1</f>
        <v>7140.9090909090901</v>
      </c>
      <c r="G4" s="45">
        <f t="shared" ref="G4:G27" si="3">F4*10/100</f>
        <v>714.09090909090901</v>
      </c>
      <c r="H4" s="16">
        <f>160</f>
        <v>160</v>
      </c>
      <c r="I4" s="45">
        <f t="shared" ref="I4:I27" si="4">H4/1.2</f>
        <v>133.33333333333334</v>
      </c>
      <c r="J4" s="45">
        <f t="shared" ref="J4:J27" si="5">I4*20/100</f>
        <v>26.666666666666671</v>
      </c>
      <c r="K4" s="16">
        <f>2160+3600</f>
        <v>5760</v>
      </c>
      <c r="L4" s="45">
        <f t="shared" ref="L4:L27" si="6">K4/1.2</f>
        <v>4800</v>
      </c>
      <c r="M4" s="45">
        <f t="shared" ref="M4:M27" si="7">L4*20/100</f>
        <v>960</v>
      </c>
      <c r="N4" s="16">
        <f>4075+595</f>
        <v>4670</v>
      </c>
      <c r="O4" s="16">
        <f>35957.5+51765</f>
        <v>87722.5</v>
      </c>
      <c r="P4" s="45">
        <v>0</v>
      </c>
      <c r="Q4" s="45">
        <v>0</v>
      </c>
      <c r="R4" s="45">
        <v>0</v>
      </c>
      <c r="S4" s="44"/>
    </row>
    <row r="5" spans="1:19" x14ac:dyDescent="0.3">
      <c r="A5" s="42">
        <v>45904</v>
      </c>
      <c r="B5" s="16">
        <f>69755+36465</f>
        <v>106220</v>
      </c>
      <c r="C5" s="45">
        <f t="shared" si="0"/>
        <v>96563.636363636353</v>
      </c>
      <c r="D5" s="45">
        <f t="shared" si="1"/>
        <v>9656.363636363636</v>
      </c>
      <c r="E5" s="16">
        <f>6926+3390</f>
        <v>10316</v>
      </c>
      <c r="F5" s="45">
        <f t="shared" si="2"/>
        <v>9378.181818181818</v>
      </c>
      <c r="G5" s="45">
        <f t="shared" si="3"/>
        <v>937.81818181818176</v>
      </c>
      <c r="H5" s="16">
        <f>500</f>
        <v>500</v>
      </c>
      <c r="I5" s="45">
        <f t="shared" si="4"/>
        <v>416.66666666666669</v>
      </c>
      <c r="J5" s="45">
        <f t="shared" si="5"/>
        <v>83.333333333333343</v>
      </c>
      <c r="K5" s="16">
        <f>2520+2880</f>
        <v>5400</v>
      </c>
      <c r="L5" s="45">
        <f t="shared" si="6"/>
        <v>4500</v>
      </c>
      <c r="M5" s="45">
        <f t="shared" si="7"/>
        <v>900</v>
      </c>
      <c r="N5" s="16">
        <f>5440+2550</f>
        <v>7990</v>
      </c>
      <c r="O5" s="16">
        <f>73761+40685-2435-2225</f>
        <v>109786</v>
      </c>
      <c r="P5" s="16">
        <f>2225+2435</f>
        <v>4660</v>
      </c>
      <c r="Q5" s="45">
        <v>0</v>
      </c>
      <c r="R5" s="45">
        <v>1790</v>
      </c>
      <c r="S5" s="46"/>
    </row>
    <row r="6" spans="1:19" x14ac:dyDescent="0.3">
      <c r="A6" s="42">
        <v>45905</v>
      </c>
      <c r="B6" s="16">
        <f>24130+81510</f>
        <v>105640</v>
      </c>
      <c r="C6" s="45">
        <f t="shared" si="0"/>
        <v>96036.363636363632</v>
      </c>
      <c r="D6" s="45">
        <f t="shared" si="1"/>
        <v>9603.636363636364</v>
      </c>
      <c r="E6" s="16">
        <f>2230+10235</f>
        <v>12465</v>
      </c>
      <c r="F6" s="45">
        <f t="shared" si="2"/>
        <v>11331.81818181818</v>
      </c>
      <c r="G6" s="45">
        <f t="shared" si="3"/>
        <v>1133.181818181818</v>
      </c>
      <c r="H6" s="16">
        <v>500</v>
      </c>
      <c r="I6" s="45">
        <f t="shared" si="4"/>
        <v>416.66666666666669</v>
      </c>
      <c r="J6" s="45">
        <f t="shared" si="5"/>
        <v>83.333333333333343</v>
      </c>
      <c r="K6" s="16">
        <f>600+6600</f>
        <v>7200</v>
      </c>
      <c r="L6" s="45">
        <f t="shared" si="6"/>
        <v>6000</v>
      </c>
      <c r="M6" s="45">
        <f t="shared" si="7"/>
        <v>1200</v>
      </c>
      <c r="N6" s="16">
        <f>395+3380</f>
        <v>3775</v>
      </c>
      <c r="O6" s="16">
        <f>27065+94965-8560</f>
        <v>113470</v>
      </c>
      <c r="P6" s="16">
        <v>8560</v>
      </c>
      <c r="Q6" s="45"/>
      <c r="R6" s="45">
        <v>6360</v>
      </c>
      <c r="S6" s="46"/>
    </row>
    <row r="7" spans="1:19" x14ac:dyDescent="0.3">
      <c r="A7" s="42">
        <v>45906</v>
      </c>
      <c r="B7" s="16">
        <f>107285+67595</f>
        <v>174880</v>
      </c>
      <c r="C7" s="45">
        <f t="shared" si="0"/>
        <v>158981.81818181818</v>
      </c>
      <c r="D7" s="45">
        <f t="shared" si="1"/>
        <v>15898.181818181816</v>
      </c>
      <c r="E7" s="16">
        <f>8290+7450</f>
        <v>15740</v>
      </c>
      <c r="F7" s="45">
        <f t="shared" si="2"/>
        <v>14309.090909090908</v>
      </c>
      <c r="G7" s="45">
        <f t="shared" si="3"/>
        <v>1430.909090909091</v>
      </c>
      <c r="H7" s="16">
        <f>1100+800</f>
        <v>1900</v>
      </c>
      <c r="I7" s="45">
        <f t="shared" si="4"/>
        <v>1583.3333333333335</v>
      </c>
      <c r="J7" s="45">
        <f t="shared" si="5"/>
        <v>316.66666666666674</v>
      </c>
      <c r="K7" s="16">
        <f>5160+2880</f>
        <v>8040</v>
      </c>
      <c r="L7" s="45">
        <f t="shared" si="6"/>
        <v>6700</v>
      </c>
      <c r="M7" s="45">
        <f t="shared" si="7"/>
        <v>1340</v>
      </c>
      <c r="N7" s="16">
        <f>1790+10395</f>
        <v>12185</v>
      </c>
      <c r="O7" s="16">
        <f>120045-1790+68330-11135</f>
        <v>175450</v>
      </c>
      <c r="P7" s="16">
        <f>1790+11135</f>
        <v>12925</v>
      </c>
      <c r="Q7" s="45"/>
      <c r="R7" s="45"/>
      <c r="S7" s="44"/>
    </row>
    <row r="8" spans="1:19" x14ac:dyDescent="0.3">
      <c r="A8" s="42">
        <v>45907</v>
      </c>
      <c r="B8" s="16">
        <f>92114+181497</f>
        <v>273611</v>
      </c>
      <c r="C8" s="45">
        <f t="shared" si="0"/>
        <v>248737.27272727271</v>
      </c>
      <c r="D8" s="45">
        <f t="shared" si="1"/>
        <v>24873.727272727272</v>
      </c>
      <c r="E8" s="16">
        <f>7665+19005</f>
        <v>26670</v>
      </c>
      <c r="F8" s="45">
        <f t="shared" si="2"/>
        <v>24245.454545454544</v>
      </c>
      <c r="G8" s="45">
        <f t="shared" si="3"/>
        <v>2424.5454545454545</v>
      </c>
      <c r="H8" s="16">
        <f>600+200</f>
        <v>800</v>
      </c>
      <c r="I8" s="45">
        <f t="shared" si="4"/>
        <v>666.66666666666674</v>
      </c>
      <c r="J8" s="45">
        <f t="shared" si="5"/>
        <v>133.33333333333337</v>
      </c>
      <c r="K8" s="16">
        <f>3360+4152</f>
        <v>7512</v>
      </c>
      <c r="L8" s="45">
        <f t="shared" si="6"/>
        <v>6260</v>
      </c>
      <c r="M8" s="45">
        <f t="shared" si="7"/>
        <v>1252</v>
      </c>
      <c r="N8" s="16">
        <f>1265+13425</f>
        <v>14690</v>
      </c>
      <c r="O8" s="16">
        <f>102474-2765+191429-3936</f>
        <v>287202</v>
      </c>
      <c r="P8" s="16">
        <f>2765+3936</f>
        <v>6701</v>
      </c>
      <c r="Q8" s="45"/>
      <c r="R8" s="45"/>
      <c r="S8" s="44"/>
    </row>
    <row r="9" spans="1:19" x14ac:dyDescent="0.3">
      <c r="A9" s="42">
        <v>45908</v>
      </c>
      <c r="B9" s="45">
        <v>0</v>
      </c>
      <c r="C9" s="45">
        <f t="shared" si="0"/>
        <v>0</v>
      </c>
      <c r="D9" s="45">
        <f t="shared" si="1"/>
        <v>0</v>
      </c>
      <c r="E9" s="45">
        <v>0</v>
      </c>
      <c r="F9" s="45">
        <f t="shared" si="2"/>
        <v>0</v>
      </c>
      <c r="G9" s="45">
        <f t="shared" si="3"/>
        <v>0</v>
      </c>
      <c r="H9" s="45">
        <v>0</v>
      </c>
      <c r="I9" s="45">
        <f t="shared" si="4"/>
        <v>0</v>
      </c>
      <c r="J9" s="45">
        <f t="shared" si="5"/>
        <v>0</v>
      </c>
      <c r="K9" s="45">
        <v>0</v>
      </c>
      <c r="L9" s="45">
        <f t="shared" si="6"/>
        <v>0</v>
      </c>
      <c r="M9" s="45">
        <f t="shared" si="7"/>
        <v>0</v>
      </c>
      <c r="N9" s="45">
        <v>0</v>
      </c>
      <c r="O9" s="45">
        <v>0</v>
      </c>
      <c r="P9" s="45">
        <v>0</v>
      </c>
      <c r="Q9" s="45">
        <v>0</v>
      </c>
      <c r="R9" s="45">
        <v>95000</v>
      </c>
      <c r="S9" s="44" t="s">
        <v>65</v>
      </c>
    </row>
    <row r="10" spans="1:19" x14ac:dyDescent="0.3">
      <c r="A10" s="42">
        <v>45909</v>
      </c>
      <c r="B10" s="16">
        <f>47000+56715</f>
        <v>103715</v>
      </c>
      <c r="C10" s="45">
        <f t="shared" si="0"/>
        <v>94286.363636363632</v>
      </c>
      <c r="D10" s="45">
        <f t="shared" si="1"/>
        <v>9428.636363636364</v>
      </c>
      <c r="E10" s="16">
        <f>4565+5750</f>
        <v>10315</v>
      </c>
      <c r="F10" s="45">
        <f t="shared" si="2"/>
        <v>9377.2727272727261</v>
      </c>
      <c r="G10" s="45">
        <f t="shared" si="3"/>
        <v>937.72727272727263</v>
      </c>
      <c r="H10" s="16">
        <f>3600+500</f>
        <v>4100</v>
      </c>
      <c r="I10" s="45">
        <f t="shared" si="4"/>
        <v>3416.666666666667</v>
      </c>
      <c r="J10" s="45">
        <f t="shared" si="5"/>
        <v>683.33333333333348</v>
      </c>
      <c r="K10" s="16">
        <f>2400+5280</f>
        <v>7680</v>
      </c>
      <c r="L10" s="45">
        <f t="shared" si="6"/>
        <v>6400</v>
      </c>
      <c r="M10" s="45">
        <f t="shared" si="7"/>
        <v>1280</v>
      </c>
      <c r="N10" s="16">
        <f>8240+1384</f>
        <v>9624</v>
      </c>
      <c r="O10" s="16">
        <f>49325+66861-2685-2978</f>
        <v>110523</v>
      </c>
      <c r="P10" s="16">
        <f>2685+2978</f>
        <v>5663</v>
      </c>
      <c r="Q10" s="45">
        <v>0</v>
      </c>
      <c r="R10" s="45">
        <v>21135</v>
      </c>
      <c r="S10" s="44"/>
    </row>
    <row r="11" spans="1:19" x14ac:dyDescent="0.3">
      <c r="A11" s="42">
        <v>45910</v>
      </c>
      <c r="B11" s="16">
        <f>43604+67520</f>
        <v>111124</v>
      </c>
      <c r="C11" s="45">
        <f t="shared" si="0"/>
        <v>101021.81818181818</v>
      </c>
      <c r="D11" s="45">
        <f t="shared" si="1"/>
        <v>10102.181818181818</v>
      </c>
      <c r="E11" s="16">
        <f>5586+5275</f>
        <v>10861</v>
      </c>
      <c r="F11" s="45">
        <f t="shared" si="2"/>
        <v>9873.6363636363621</v>
      </c>
      <c r="G11" s="45">
        <f t="shared" si="3"/>
        <v>987.36363636363615</v>
      </c>
      <c r="H11" s="45">
        <f>0</f>
        <v>0</v>
      </c>
      <c r="I11" s="45">
        <f t="shared" si="4"/>
        <v>0</v>
      </c>
      <c r="J11" s="45">
        <f t="shared" si="5"/>
        <v>0</v>
      </c>
      <c r="K11" s="16">
        <f>3072+2400</f>
        <v>5472</v>
      </c>
      <c r="L11" s="45">
        <f t="shared" si="6"/>
        <v>4560</v>
      </c>
      <c r="M11" s="45">
        <f t="shared" si="7"/>
        <v>912</v>
      </c>
      <c r="N11" s="16">
        <f>6843+3580</f>
        <v>10423</v>
      </c>
      <c r="O11" s="16">
        <f>45419-4835+71615-2535</f>
        <v>109664</v>
      </c>
      <c r="P11" s="16">
        <f>4835+2535</f>
        <v>7370</v>
      </c>
      <c r="Q11" s="45">
        <v>0</v>
      </c>
      <c r="R11" s="45">
        <v>0</v>
      </c>
      <c r="S11" s="44"/>
    </row>
    <row r="12" spans="1:19" x14ac:dyDescent="0.3">
      <c r="A12" s="42">
        <v>45911</v>
      </c>
      <c r="B12" s="16">
        <f>31800+71997.5</f>
        <v>103797.5</v>
      </c>
      <c r="C12" s="45">
        <f t="shared" si="0"/>
        <v>94361.363636363632</v>
      </c>
      <c r="D12" s="45">
        <f t="shared" si="1"/>
        <v>9436.136363636364</v>
      </c>
      <c r="E12" s="16">
        <f>3865+8600</f>
        <v>12465</v>
      </c>
      <c r="F12" s="45">
        <f t="shared" si="2"/>
        <v>11331.81818181818</v>
      </c>
      <c r="G12" s="45">
        <f t="shared" si="3"/>
        <v>1133.181818181818</v>
      </c>
      <c r="H12" s="45">
        <v>0</v>
      </c>
      <c r="I12" s="45">
        <f t="shared" si="4"/>
        <v>0</v>
      </c>
      <c r="J12" s="45">
        <f t="shared" si="5"/>
        <v>0</v>
      </c>
      <c r="K12" s="16">
        <f>2760+3000</f>
        <v>5760</v>
      </c>
      <c r="L12" s="45">
        <f t="shared" si="6"/>
        <v>4800</v>
      </c>
      <c r="M12" s="45">
        <f t="shared" si="7"/>
        <v>960</v>
      </c>
      <c r="N12" s="16">
        <f>4195+2050</f>
        <v>6245</v>
      </c>
      <c r="O12" s="16">
        <f>34230+81547.5</f>
        <v>115777.5</v>
      </c>
      <c r="P12" s="45">
        <v>0</v>
      </c>
      <c r="Q12" s="45">
        <v>0</v>
      </c>
      <c r="R12" s="45">
        <v>0</v>
      </c>
      <c r="S12" s="44"/>
    </row>
    <row r="13" spans="1:19" x14ac:dyDescent="0.3">
      <c r="A13" s="42">
        <v>45912</v>
      </c>
      <c r="B13" s="16">
        <f>15035+78610</f>
        <v>93645</v>
      </c>
      <c r="C13" s="45">
        <f t="shared" si="0"/>
        <v>85131.818181818177</v>
      </c>
      <c r="D13" s="45">
        <f t="shared" si="1"/>
        <v>8513.181818181818</v>
      </c>
      <c r="E13" s="16">
        <f>690+8815</f>
        <v>9505</v>
      </c>
      <c r="F13" s="45">
        <f t="shared" si="2"/>
        <v>8640.9090909090901</v>
      </c>
      <c r="G13" s="45">
        <f t="shared" si="3"/>
        <v>864.09090909090901</v>
      </c>
      <c r="H13" s="16">
        <v>500</v>
      </c>
      <c r="I13" s="45">
        <f t="shared" si="4"/>
        <v>416.66666666666669</v>
      </c>
      <c r="J13" s="45">
        <f t="shared" si="5"/>
        <v>83.333333333333343</v>
      </c>
      <c r="K13" s="16">
        <f>1200+4800</f>
        <v>6000</v>
      </c>
      <c r="L13" s="45">
        <f t="shared" si="6"/>
        <v>5000</v>
      </c>
      <c r="M13" s="45">
        <f t="shared" si="7"/>
        <v>1000</v>
      </c>
      <c r="N13" s="16">
        <f>11110</f>
        <v>11110</v>
      </c>
      <c r="O13" s="16">
        <f>16925+81615-3700</f>
        <v>94840</v>
      </c>
      <c r="P13" s="16">
        <v>3700</v>
      </c>
      <c r="Q13" s="45">
        <v>0</v>
      </c>
      <c r="R13" s="45">
        <v>13007.5</v>
      </c>
      <c r="S13" s="44"/>
    </row>
    <row r="14" spans="1:19" x14ac:dyDescent="0.3">
      <c r="A14" s="42">
        <v>45913</v>
      </c>
      <c r="B14" s="16">
        <f>110825+68610</f>
        <v>179435</v>
      </c>
      <c r="C14" s="45">
        <f t="shared" si="0"/>
        <v>163122.72727272726</v>
      </c>
      <c r="D14" s="45">
        <f t="shared" si="1"/>
        <v>16312.272727272728</v>
      </c>
      <c r="E14" s="16">
        <f>12275+6385</f>
        <v>18660</v>
      </c>
      <c r="F14" s="45">
        <f t="shared" si="2"/>
        <v>16963.636363636364</v>
      </c>
      <c r="G14" s="45">
        <f t="shared" si="3"/>
        <v>1696.3636363636365</v>
      </c>
      <c r="H14" s="16">
        <f>700</f>
        <v>700</v>
      </c>
      <c r="I14" s="45">
        <f t="shared" si="4"/>
        <v>583.33333333333337</v>
      </c>
      <c r="J14" s="45">
        <f t="shared" si="5"/>
        <v>116.66666666666669</v>
      </c>
      <c r="K14" s="16">
        <f>5880+1800</f>
        <v>7680</v>
      </c>
      <c r="L14" s="45">
        <f t="shared" si="6"/>
        <v>6400</v>
      </c>
      <c r="M14" s="45">
        <f t="shared" si="7"/>
        <v>1280</v>
      </c>
      <c r="N14" s="16">
        <f>7278+6565</f>
        <v>13843</v>
      </c>
      <c r="O14" s="16">
        <f>122402+70230-1990</f>
        <v>190642</v>
      </c>
      <c r="P14" s="16">
        <v>1990</v>
      </c>
      <c r="Q14" s="45">
        <v>1772</v>
      </c>
      <c r="R14" s="45">
        <f>11363+17720</f>
        <v>29083</v>
      </c>
      <c r="S14" s="44" t="s">
        <v>67</v>
      </c>
    </row>
    <row r="15" spans="1:19" x14ac:dyDescent="0.3">
      <c r="A15" s="42">
        <v>45914</v>
      </c>
      <c r="B15" s="16">
        <f>176366.5+69708</f>
        <v>246074.5</v>
      </c>
      <c r="C15" s="45">
        <f t="shared" si="0"/>
        <v>223704.09090909088</v>
      </c>
      <c r="D15" s="45">
        <f t="shared" si="1"/>
        <v>22370.409090909088</v>
      </c>
      <c r="E15" s="16">
        <f>17783+8160</f>
        <v>25943</v>
      </c>
      <c r="F15" s="45">
        <f t="shared" si="2"/>
        <v>23584.545454545452</v>
      </c>
      <c r="G15" s="45">
        <f t="shared" si="3"/>
        <v>2358.4545454545455</v>
      </c>
      <c r="H15" s="16">
        <f>1874+500</f>
        <v>2374</v>
      </c>
      <c r="I15" s="45">
        <f t="shared" si="4"/>
        <v>1978.3333333333335</v>
      </c>
      <c r="J15" s="45">
        <f t="shared" si="5"/>
        <v>395.66666666666674</v>
      </c>
      <c r="K15" s="16">
        <f>6504+2040</f>
        <v>8544</v>
      </c>
      <c r="L15" s="45">
        <f t="shared" si="6"/>
        <v>7120</v>
      </c>
      <c r="M15" s="45">
        <f t="shared" si="7"/>
        <v>1424</v>
      </c>
      <c r="N15" s="16">
        <f>4320+6225</f>
        <v>10545</v>
      </c>
      <c r="O15" s="16">
        <f>198207.5-11040+74183</f>
        <v>261350.5</v>
      </c>
      <c r="P15" s="16">
        <v>11040</v>
      </c>
      <c r="Q15" s="45">
        <v>50182</v>
      </c>
      <c r="R15" s="45">
        <v>0</v>
      </c>
      <c r="S15" s="44" t="s">
        <v>68</v>
      </c>
    </row>
    <row r="16" spans="1:19" x14ac:dyDescent="0.3">
      <c r="A16" s="42">
        <v>45916</v>
      </c>
      <c r="B16" s="16">
        <f>47450+70860</f>
        <v>118310</v>
      </c>
      <c r="C16" s="45">
        <f t="shared" si="0"/>
        <v>107554.54545454544</v>
      </c>
      <c r="D16" s="45">
        <f t="shared" si="1"/>
        <v>10755.454545454544</v>
      </c>
      <c r="E16" s="16">
        <f>3650+7065</f>
        <v>10715</v>
      </c>
      <c r="F16" s="45">
        <f t="shared" si="2"/>
        <v>9740.9090909090901</v>
      </c>
      <c r="G16" s="45">
        <f t="shared" si="3"/>
        <v>974.09090909090901</v>
      </c>
      <c r="H16" s="45">
        <f>0</f>
        <v>0</v>
      </c>
      <c r="I16" s="45">
        <f t="shared" si="4"/>
        <v>0</v>
      </c>
      <c r="J16" s="45">
        <f t="shared" si="5"/>
        <v>0</v>
      </c>
      <c r="K16" s="16">
        <f>1680+4680</f>
        <v>6360</v>
      </c>
      <c r="L16" s="45">
        <f t="shared" si="6"/>
        <v>5300</v>
      </c>
      <c r="M16" s="45">
        <f t="shared" si="7"/>
        <v>1060</v>
      </c>
      <c r="N16" s="16">
        <f>1595+8280</f>
        <v>9875</v>
      </c>
      <c r="O16" s="16">
        <f>51185-2850+74325-2060</f>
        <v>120600</v>
      </c>
      <c r="P16" s="16">
        <f>2850+2060</f>
        <v>4910</v>
      </c>
      <c r="Q16" s="45">
        <v>0</v>
      </c>
      <c r="R16" s="45">
        <v>0</v>
      </c>
      <c r="S16" s="44" t="s">
        <v>66</v>
      </c>
    </row>
    <row r="17" spans="1:19" x14ac:dyDescent="0.3">
      <c r="A17" s="42">
        <v>45917</v>
      </c>
      <c r="B17" s="16">
        <f>79915+41185</f>
        <v>121100</v>
      </c>
      <c r="C17" s="45">
        <f t="shared" si="0"/>
        <v>110090.90909090909</v>
      </c>
      <c r="D17" s="45">
        <f t="shared" si="1"/>
        <v>11009.090909090908</v>
      </c>
      <c r="E17" s="16">
        <f>6315+4290</f>
        <v>10605</v>
      </c>
      <c r="F17" s="45">
        <f t="shared" si="2"/>
        <v>9640.9090909090901</v>
      </c>
      <c r="G17" s="45">
        <f t="shared" si="3"/>
        <v>964.09090909090901</v>
      </c>
      <c r="H17" s="16">
        <f>325+400</f>
        <v>725</v>
      </c>
      <c r="I17" s="45">
        <f t="shared" si="4"/>
        <v>604.16666666666674</v>
      </c>
      <c r="J17" s="45">
        <f t="shared" si="5"/>
        <v>120.83333333333336</v>
      </c>
      <c r="K17" s="16">
        <f>3480+3840</f>
        <v>7320</v>
      </c>
      <c r="L17" s="45">
        <f t="shared" si="6"/>
        <v>6100</v>
      </c>
      <c r="M17" s="45">
        <f t="shared" si="7"/>
        <v>1220</v>
      </c>
      <c r="N17" s="16">
        <f>4665+7140</f>
        <v>11805</v>
      </c>
      <c r="O17" s="16">
        <f>85370+42575-995</f>
        <v>126950</v>
      </c>
      <c r="P17" s="16">
        <v>995</v>
      </c>
      <c r="Q17" s="45">
        <v>0</v>
      </c>
      <c r="R17" s="45">
        <f>13000+24000</f>
        <v>37000</v>
      </c>
      <c r="S17" s="44"/>
    </row>
    <row r="18" spans="1:19" x14ac:dyDescent="0.3">
      <c r="A18" s="42">
        <v>45918</v>
      </c>
      <c r="B18" s="16">
        <f>65255</f>
        <v>65255</v>
      </c>
      <c r="C18" s="45">
        <f t="shared" si="0"/>
        <v>59322.727272727265</v>
      </c>
      <c r="D18" s="45">
        <f t="shared" si="1"/>
        <v>5932.272727272727</v>
      </c>
      <c r="E18" s="16">
        <v>4330</v>
      </c>
      <c r="F18" s="45">
        <f t="shared" si="2"/>
        <v>3936.363636363636</v>
      </c>
      <c r="G18" s="45">
        <f t="shared" si="3"/>
        <v>393.63636363636363</v>
      </c>
      <c r="H18" s="45">
        <v>0</v>
      </c>
      <c r="I18" s="45">
        <f t="shared" si="4"/>
        <v>0</v>
      </c>
      <c r="J18" s="45">
        <f t="shared" si="5"/>
        <v>0</v>
      </c>
      <c r="K18" s="16">
        <v>3600</v>
      </c>
      <c r="L18" s="45">
        <f t="shared" si="6"/>
        <v>3000</v>
      </c>
      <c r="M18" s="45">
        <f t="shared" si="7"/>
        <v>600</v>
      </c>
      <c r="N18" s="16">
        <v>2000</v>
      </c>
      <c r="O18" s="16">
        <f>71185-4070</f>
        <v>67115</v>
      </c>
      <c r="P18" s="16">
        <v>4070</v>
      </c>
      <c r="Q18" s="45">
        <v>0</v>
      </c>
      <c r="R18" s="45">
        <v>5225</v>
      </c>
      <c r="S18" s="44"/>
    </row>
    <row r="19" spans="1:19" x14ac:dyDescent="0.3">
      <c r="A19" s="42">
        <v>45919</v>
      </c>
      <c r="B19" s="16">
        <f>20175+109735</f>
        <v>129910</v>
      </c>
      <c r="C19" s="45">
        <f t="shared" si="0"/>
        <v>118099.99999999999</v>
      </c>
      <c r="D19" s="45">
        <f t="shared" si="1"/>
        <v>11809.999999999998</v>
      </c>
      <c r="E19" s="16">
        <f>1015+9055</f>
        <v>10070</v>
      </c>
      <c r="F19" s="45">
        <f t="shared" si="2"/>
        <v>9154.545454545454</v>
      </c>
      <c r="G19" s="45">
        <f t="shared" si="3"/>
        <v>915.4545454545455</v>
      </c>
      <c r="H19" s="16">
        <v>1200</v>
      </c>
      <c r="I19" s="45">
        <f t="shared" si="4"/>
        <v>1000</v>
      </c>
      <c r="J19" s="45">
        <f t="shared" si="5"/>
        <v>200</v>
      </c>
      <c r="K19" s="16">
        <f>1200+5640</f>
        <v>6840</v>
      </c>
      <c r="L19" s="45">
        <f t="shared" si="6"/>
        <v>5700</v>
      </c>
      <c r="M19" s="45">
        <f t="shared" si="7"/>
        <v>1140</v>
      </c>
      <c r="N19" s="16">
        <f>14375</f>
        <v>14375</v>
      </c>
      <c r="O19" s="16">
        <f>22390+111255-1930</f>
        <v>131715</v>
      </c>
      <c r="P19" s="16">
        <v>1930</v>
      </c>
      <c r="Q19" s="45"/>
      <c r="R19" s="45"/>
      <c r="S19" s="44"/>
    </row>
    <row r="20" spans="1:19" x14ac:dyDescent="0.3">
      <c r="A20" s="42">
        <v>45920</v>
      </c>
      <c r="B20" s="16">
        <f>20885+151095</f>
        <v>171980</v>
      </c>
      <c r="C20" s="45">
        <f t="shared" si="0"/>
        <v>156345.45454545453</v>
      </c>
      <c r="D20" s="45">
        <f t="shared" si="1"/>
        <v>15634.545454545454</v>
      </c>
      <c r="E20" s="16">
        <f>2005+15855</f>
        <v>17860</v>
      </c>
      <c r="F20" s="45">
        <f t="shared" si="2"/>
        <v>16236.363636363634</v>
      </c>
      <c r="G20" s="45">
        <f t="shared" si="3"/>
        <v>1623.6363636363635</v>
      </c>
      <c r="H20" s="16">
        <f>850</f>
        <v>850</v>
      </c>
      <c r="I20" s="45">
        <f t="shared" si="4"/>
        <v>708.33333333333337</v>
      </c>
      <c r="J20" s="45">
        <f t="shared" si="5"/>
        <v>141.66666666666669</v>
      </c>
      <c r="K20" s="16">
        <f>840+6360</f>
        <v>7200</v>
      </c>
      <c r="L20" s="45">
        <f t="shared" si="6"/>
        <v>6000</v>
      </c>
      <c r="M20" s="45">
        <f t="shared" si="7"/>
        <v>1200</v>
      </c>
      <c r="N20" s="16">
        <f>3850+16950</f>
        <v>20800</v>
      </c>
      <c r="O20" s="16">
        <f>19880-2120+157210-1790</f>
        <v>173180</v>
      </c>
      <c r="P20" s="16">
        <f>2120+1790</f>
        <v>3910</v>
      </c>
      <c r="Q20" s="45">
        <v>0</v>
      </c>
      <c r="R20" s="45">
        <f>5560+1790</f>
        <v>7350</v>
      </c>
      <c r="S20" s="44"/>
    </row>
    <row r="21" spans="1:19" x14ac:dyDescent="0.3">
      <c r="A21" s="42">
        <v>45921</v>
      </c>
      <c r="B21" s="16">
        <f>175270+66260</f>
        <v>241530</v>
      </c>
      <c r="C21" s="45">
        <f t="shared" si="0"/>
        <v>219572.72727272726</v>
      </c>
      <c r="D21" s="45">
        <f t="shared" si="1"/>
        <v>21957.272727272724</v>
      </c>
      <c r="E21" s="16">
        <f>16150+7270</f>
        <v>23420</v>
      </c>
      <c r="F21" s="45">
        <f t="shared" si="2"/>
        <v>21290.909090909088</v>
      </c>
      <c r="G21" s="45">
        <f t="shared" si="3"/>
        <v>2129.090909090909</v>
      </c>
      <c r="H21" s="16">
        <v>800</v>
      </c>
      <c r="I21" s="45">
        <f t="shared" si="4"/>
        <v>666.66666666666674</v>
      </c>
      <c r="J21" s="45">
        <f t="shared" si="5"/>
        <v>133.33333333333337</v>
      </c>
      <c r="K21" s="16">
        <f>4680+1080</f>
        <v>5760</v>
      </c>
      <c r="L21" s="45">
        <f t="shared" si="6"/>
        <v>4800</v>
      </c>
      <c r="M21" s="45">
        <f t="shared" si="7"/>
        <v>960</v>
      </c>
      <c r="N21" s="16">
        <f>15185+4410</f>
        <v>19595</v>
      </c>
      <c r="O21" s="16">
        <f>181715-14990+70200</f>
        <v>236925</v>
      </c>
      <c r="P21" s="16">
        <v>14990</v>
      </c>
      <c r="Q21" s="45">
        <v>0</v>
      </c>
      <c r="R21" s="45">
        <v>21455</v>
      </c>
      <c r="S21" s="44"/>
    </row>
    <row r="22" spans="1:19" x14ac:dyDescent="0.3">
      <c r="A22" s="42">
        <v>45923</v>
      </c>
      <c r="B22" s="16">
        <f>11585+99350</f>
        <v>110935</v>
      </c>
      <c r="C22" s="45">
        <f t="shared" si="0"/>
        <v>100849.99999999999</v>
      </c>
      <c r="D22" s="45">
        <f t="shared" si="1"/>
        <v>10084.999999999998</v>
      </c>
      <c r="E22" s="16">
        <f>765+9310</f>
        <v>10075</v>
      </c>
      <c r="F22" s="45">
        <f t="shared" si="2"/>
        <v>9159.0909090909081</v>
      </c>
      <c r="G22" s="45">
        <f t="shared" si="3"/>
        <v>915.90909090909088</v>
      </c>
      <c r="H22" s="16">
        <f>800</f>
        <v>800</v>
      </c>
      <c r="I22" s="45">
        <f t="shared" si="4"/>
        <v>666.66666666666674</v>
      </c>
      <c r="J22" s="45">
        <f t="shared" si="5"/>
        <v>133.33333333333337</v>
      </c>
      <c r="K22" s="16">
        <f>480+5760</f>
        <v>6240</v>
      </c>
      <c r="L22" s="45">
        <f t="shared" si="6"/>
        <v>5200</v>
      </c>
      <c r="M22" s="45">
        <f t="shared" si="7"/>
        <v>1040</v>
      </c>
      <c r="N22" s="16">
        <f>8335</f>
        <v>8335</v>
      </c>
      <c r="O22" s="16">
        <f>12830+106885-8514</f>
        <v>111201</v>
      </c>
      <c r="P22" s="16">
        <v>8514</v>
      </c>
      <c r="Q22" s="45">
        <v>0</v>
      </c>
      <c r="R22" s="45">
        <v>0</v>
      </c>
      <c r="S22" s="44"/>
    </row>
    <row r="23" spans="1:19" x14ac:dyDescent="0.3">
      <c r="A23" s="42">
        <v>45924</v>
      </c>
      <c r="B23" s="16">
        <f>38802.5+56490</f>
        <v>95292.5</v>
      </c>
      <c r="C23" s="45">
        <f t="shared" si="0"/>
        <v>86629.545454545441</v>
      </c>
      <c r="D23" s="45">
        <f t="shared" si="1"/>
        <v>8662.9545454545441</v>
      </c>
      <c r="E23" s="16">
        <f>3155+5650</f>
        <v>8805</v>
      </c>
      <c r="F23" s="45">
        <f t="shared" si="2"/>
        <v>8004.545454545454</v>
      </c>
      <c r="G23" s="45">
        <f t="shared" si="3"/>
        <v>800.4545454545455</v>
      </c>
      <c r="H23" s="16">
        <f>500</f>
        <v>500</v>
      </c>
      <c r="I23" s="45">
        <f t="shared" si="4"/>
        <v>416.66666666666669</v>
      </c>
      <c r="J23" s="45">
        <f t="shared" si="5"/>
        <v>83.333333333333343</v>
      </c>
      <c r="K23" s="16">
        <f>2880+2160</f>
        <v>5040</v>
      </c>
      <c r="L23" s="45">
        <f t="shared" si="6"/>
        <v>4200</v>
      </c>
      <c r="M23" s="45">
        <f t="shared" si="7"/>
        <v>840</v>
      </c>
      <c r="N23" s="16">
        <f>2140+7786</f>
        <v>9926</v>
      </c>
      <c r="O23" s="16">
        <f>43197.5-3000+56514-2895</f>
        <v>93816.5</v>
      </c>
      <c r="P23" s="16">
        <f>3000+2895</f>
        <v>5895</v>
      </c>
      <c r="Q23" s="45">
        <v>0</v>
      </c>
      <c r="R23" s="45">
        <f>10410+8055</f>
        <v>18465</v>
      </c>
      <c r="S23" s="44"/>
    </row>
    <row r="24" spans="1:19" x14ac:dyDescent="0.3">
      <c r="A24" s="42">
        <v>45925</v>
      </c>
      <c r="B24" s="16">
        <f>42065+40790</f>
        <v>82855</v>
      </c>
      <c r="C24" s="45">
        <f t="shared" si="0"/>
        <v>75322.727272727265</v>
      </c>
      <c r="D24" s="45">
        <f t="shared" si="1"/>
        <v>7532.272727272727</v>
      </c>
      <c r="E24" s="16">
        <f>4815+2515</f>
        <v>7330</v>
      </c>
      <c r="F24" s="45">
        <f t="shared" si="2"/>
        <v>6663.6363636363631</v>
      </c>
      <c r="G24" s="45">
        <f t="shared" si="3"/>
        <v>666.36363636363637</v>
      </c>
      <c r="H24" s="16">
        <v>400</v>
      </c>
      <c r="I24" s="45">
        <f t="shared" si="4"/>
        <v>333.33333333333337</v>
      </c>
      <c r="J24" s="45">
        <f t="shared" si="5"/>
        <v>66.666666666666686</v>
      </c>
      <c r="K24" s="16">
        <f>4200+600</f>
        <v>4800</v>
      </c>
      <c r="L24" s="45">
        <f t="shared" si="6"/>
        <v>4000</v>
      </c>
      <c r="M24" s="45">
        <f t="shared" si="7"/>
        <v>800</v>
      </c>
      <c r="N24" s="16">
        <f>6290+1790</f>
        <v>8080</v>
      </c>
      <c r="O24" s="16">
        <f>44790-375+42515-495</f>
        <v>86435</v>
      </c>
      <c r="P24" s="16">
        <f>375+495</f>
        <v>870</v>
      </c>
      <c r="Q24" s="45"/>
      <c r="R24" s="45"/>
      <c r="S24" s="44"/>
    </row>
    <row r="25" spans="1:19" x14ac:dyDescent="0.3">
      <c r="A25" s="42">
        <v>45926</v>
      </c>
      <c r="B25" s="16">
        <f>37575+51150</f>
        <v>88725</v>
      </c>
      <c r="C25" s="45">
        <f t="shared" si="0"/>
        <v>80659.090909090897</v>
      </c>
      <c r="D25" s="45">
        <f t="shared" si="1"/>
        <v>8065.9090909090892</v>
      </c>
      <c r="E25" s="16">
        <f>4797.5+3105</f>
        <v>7902.5</v>
      </c>
      <c r="F25" s="45">
        <f t="shared" si="2"/>
        <v>7184.0909090909081</v>
      </c>
      <c r="G25" s="45">
        <f t="shared" si="3"/>
        <v>718.40909090909088</v>
      </c>
      <c r="H25" s="16">
        <v>300</v>
      </c>
      <c r="I25" s="45">
        <f t="shared" si="4"/>
        <v>250</v>
      </c>
      <c r="J25" s="45">
        <f t="shared" si="5"/>
        <v>50</v>
      </c>
      <c r="K25" s="16">
        <f>720+4440</f>
        <v>5160</v>
      </c>
      <c r="L25" s="45">
        <f t="shared" si="6"/>
        <v>4300</v>
      </c>
      <c r="M25" s="45">
        <f t="shared" si="7"/>
        <v>860</v>
      </c>
      <c r="N25" s="16">
        <f>1085+3205</f>
        <v>4290</v>
      </c>
      <c r="O25" s="16">
        <f>42007.5-4245+55790</f>
        <v>93552.5</v>
      </c>
      <c r="P25" s="16">
        <v>4245</v>
      </c>
      <c r="Q25" s="45">
        <v>0</v>
      </c>
      <c r="R25" s="45">
        <v>11720</v>
      </c>
      <c r="S25" s="44"/>
    </row>
    <row r="26" spans="1:19" x14ac:dyDescent="0.3">
      <c r="A26" s="42">
        <v>45927</v>
      </c>
      <c r="B26" s="16">
        <f>64199.39+109775</f>
        <v>173974.39</v>
      </c>
      <c r="C26" s="45">
        <f t="shared" si="0"/>
        <v>158158.53636363638</v>
      </c>
      <c r="D26" s="45">
        <f t="shared" si="1"/>
        <v>15815.853636363638</v>
      </c>
      <c r="E26" s="16">
        <f>3495.61+6880</f>
        <v>10375.61</v>
      </c>
      <c r="F26" s="45">
        <f t="shared" si="2"/>
        <v>9432.3727272727265</v>
      </c>
      <c r="G26" s="45">
        <f t="shared" si="3"/>
        <v>943.23727272727263</v>
      </c>
      <c r="H26" s="16">
        <f>200</f>
        <v>200</v>
      </c>
      <c r="I26" s="45">
        <f t="shared" si="4"/>
        <v>166.66666666666669</v>
      </c>
      <c r="J26" s="45">
        <f t="shared" si="5"/>
        <v>33.333333333333343</v>
      </c>
      <c r="K26" s="16">
        <f>2520+3240</f>
        <v>5760</v>
      </c>
      <c r="L26" s="45">
        <f t="shared" si="6"/>
        <v>4800</v>
      </c>
      <c r="M26" s="45">
        <f t="shared" si="7"/>
        <v>960</v>
      </c>
      <c r="N26" s="16">
        <f>7860+1790</f>
        <v>9650</v>
      </c>
      <c r="O26" s="16">
        <f>62555-1988+118105-5270</f>
        <v>173402</v>
      </c>
      <c r="P26" s="16">
        <f>1988+5270</f>
        <v>7258</v>
      </c>
      <c r="Q26" s="45">
        <v>0</v>
      </c>
      <c r="R26" s="45">
        <v>0</v>
      </c>
      <c r="S26" s="44"/>
    </row>
    <row r="27" spans="1:19" x14ac:dyDescent="0.3">
      <c r="A27" s="42">
        <v>45928</v>
      </c>
      <c r="B27" s="16">
        <f>77165+116597.5</f>
        <v>193762.5</v>
      </c>
      <c r="C27" s="45">
        <f t="shared" si="0"/>
        <v>176147.72727272726</v>
      </c>
      <c r="D27" s="45">
        <f t="shared" si="1"/>
        <v>17614.772727272728</v>
      </c>
      <c r="E27" s="16">
        <f>6420+8325</f>
        <v>14745</v>
      </c>
      <c r="F27" s="45">
        <f t="shared" si="2"/>
        <v>13404.545454545454</v>
      </c>
      <c r="G27" s="45">
        <f t="shared" si="3"/>
        <v>1340.4545454545453</v>
      </c>
      <c r="H27" s="45">
        <v>0</v>
      </c>
      <c r="I27" s="45">
        <f t="shared" si="4"/>
        <v>0</v>
      </c>
      <c r="J27" s="45">
        <f t="shared" si="5"/>
        <v>0</v>
      </c>
      <c r="K27" s="16">
        <f>1440+2160</f>
        <v>3600</v>
      </c>
      <c r="L27" s="45">
        <f t="shared" si="6"/>
        <v>3000</v>
      </c>
      <c r="M27" s="45">
        <f t="shared" si="7"/>
        <v>600</v>
      </c>
      <c r="N27" s="16">
        <f>7470+9160</f>
        <v>16630</v>
      </c>
      <c r="O27" s="16">
        <f>77555-2685+117922.5-1790</f>
        <v>191002.5</v>
      </c>
      <c r="P27" s="16">
        <f>2685+1790</f>
        <v>4475</v>
      </c>
      <c r="Q27" s="45"/>
      <c r="R27" s="45"/>
      <c r="S27" s="44"/>
    </row>
    <row r="28" spans="1:19" x14ac:dyDescent="0.3">
      <c r="A28" s="42">
        <v>45930</v>
      </c>
      <c r="B28" s="16">
        <v>45190</v>
      </c>
      <c r="C28" s="45">
        <f t="shared" ref="C28" si="8">B28/1.1</f>
        <v>41081.818181818177</v>
      </c>
      <c r="D28" s="45">
        <f t="shared" ref="D28" si="9">C28*10/100</f>
        <v>4108.181818181818</v>
      </c>
      <c r="E28" s="16">
        <v>5780</v>
      </c>
      <c r="F28" s="45">
        <f t="shared" ref="F28" si="10">E28/1.1</f>
        <v>5254.545454545454</v>
      </c>
      <c r="G28" s="45">
        <f t="shared" ref="G28" si="11">F28*10/100</f>
        <v>525.4545454545455</v>
      </c>
      <c r="H28" s="16">
        <v>500</v>
      </c>
      <c r="I28" s="45">
        <f t="shared" ref="I28" si="12">H28/1.2</f>
        <v>416.66666666666669</v>
      </c>
      <c r="J28" s="45">
        <f t="shared" ref="J28" si="13">I28*20/100</f>
        <v>83.333333333333343</v>
      </c>
      <c r="K28" s="16">
        <v>2760</v>
      </c>
      <c r="L28" s="45">
        <f t="shared" ref="L28" si="14">K28/1.2</f>
        <v>2300</v>
      </c>
      <c r="M28" s="45">
        <f t="shared" ref="M28" si="15">L28*20/100</f>
        <v>460</v>
      </c>
      <c r="N28" s="16">
        <v>7060</v>
      </c>
      <c r="O28" s="16">
        <f>47170-6025</f>
        <v>41145</v>
      </c>
      <c r="P28" s="16">
        <v>6025</v>
      </c>
      <c r="Q28" s="45">
        <v>0</v>
      </c>
      <c r="R28" s="45">
        <v>0</v>
      </c>
      <c r="S28" s="44"/>
    </row>
    <row r="29" spans="1:19" ht="15.6" x14ac:dyDescent="0.3">
      <c r="B29" s="48">
        <f>SUM(B3:B28)</f>
        <v>3316324.32</v>
      </c>
      <c r="C29" s="48"/>
      <c r="D29" s="48"/>
      <c r="E29" s="48">
        <f>SUM(E3:E28)</f>
        <v>315207.67999999999</v>
      </c>
      <c r="F29" s="48"/>
      <c r="G29" s="48"/>
      <c r="H29" s="48">
        <f>SUM(H3:H28)</f>
        <v>17809</v>
      </c>
      <c r="I29" s="48"/>
      <c r="J29" s="48"/>
      <c r="K29" s="48">
        <f>SUM(K3:K28)</f>
        <v>151728</v>
      </c>
      <c r="L29" s="48"/>
      <c r="M29" s="48"/>
      <c r="N29" s="48">
        <f>SUM(N3:N28)</f>
        <v>257846</v>
      </c>
      <c r="O29" s="48">
        <f>SUM(O3:O28)</f>
        <v>3412527</v>
      </c>
      <c r="P29" s="48">
        <f>SUM(P3:P28)</f>
        <v>130696</v>
      </c>
      <c r="Q29" s="48">
        <f>SUM(Q3:Q28)</f>
        <v>51954</v>
      </c>
      <c r="R29" s="48">
        <f>SUM(R3:R28)</f>
        <v>279810.5</v>
      </c>
      <c r="S29" s="49"/>
    </row>
    <row r="30" spans="1:19" x14ac:dyDescent="0.3">
      <c r="R30" s="60">
        <v>95000</v>
      </c>
      <c r="S30" s="47" t="s">
        <v>65</v>
      </c>
    </row>
    <row r="31" spans="1:19" x14ac:dyDescent="0.3">
      <c r="B31" s="50"/>
      <c r="C31" s="50"/>
      <c r="E31" s="50" t="s">
        <v>5</v>
      </c>
      <c r="F31" s="50" t="s">
        <v>78</v>
      </c>
      <c r="G31" s="50" t="s">
        <v>84</v>
      </c>
      <c r="H31" s="50" t="s">
        <v>85</v>
      </c>
      <c r="I31" s="50"/>
      <c r="J31" s="50"/>
      <c r="K31" s="50"/>
      <c r="L31" s="50"/>
      <c r="M31" s="50"/>
      <c r="N31" s="50"/>
      <c r="O31" s="50"/>
      <c r="P31" s="50"/>
      <c r="Q31" s="50"/>
      <c r="R31" s="48">
        <f>R29-R30</f>
        <v>184810.5</v>
      </c>
    </row>
    <row r="32" spans="1:19" x14ac:dyDescent="0.3">
      <c r="A32" s="59">
        <v>0.1</v>
      </c>
      <c r="B32" s="50">
        <v>1364624.5</v>
      </c>
      <c r="C32" s="50">
        <v>2266907.5</v>
      </c>
      <c r="D32" s="48">
        <f>SUM(B32:C32)</f>
        <v>3631532</v>
      </c>
      <c r="E32" s="50">
        <v>103651</v>
      </c>
      <c r="F32" s="50">
        <v>1320433.5</v>
      </c>
      <c r="G32" s="50">
        <v>1772</v>
      </c>
      <c r="H32" s="50">
        <v>88690</v>
      </c>
    </row>
    <row r="33" spans="1:16" x14ac:dyDescent="0.3">
      <c r="A33" s="59">
        <v>0.2</v>
      </c>
      <c r="B33" s="50">
        <v>59460</v>
      </c>
      <c r="C33" s="50">
        <v>110077</v>
      </c>
      <c r="D33" s="48">
        <f>SUM(B33:C33)</f>
        <v>169537</v>
      </c>
      <c r="E33" s="50">
        <v>154195</v>
      </c>
      <c r="F33" s="50">
        <v>2222789.5</v>
      </c>
      <c r="G33" s="50">
        <v>50182</v>
      </c>
      <c r="H33" s="50">
        <v>84757.5</v>
      </c>
      <c r="K33" s="50"/>
      <c r="N33" s="50"/>
    </row>
    <row r="34" spans="1:16" x14ac:dyDescent="0.3">
      <c r="E34" s="48">
        <f>SUM(E32:E33)</f>
        <v>257846</v>
      </c>
      <c r="F34" s="48">
        <f>SUM(F32:F33)</f>
        <v>3543223</v>
      </c>
      <c r="G34" s="48">
        <f>SUM(G32:G33)</f>
        <v>51954</v>
      </c>
      <c r="H34" s="48">
        <f>SUM(H32:H33)</f>
        <v>173447.5</v>
      </c>
      <c r="I34" s="41" t="s">
        <v>86</v>
      </c>
      <c r="P34" s="50"/>
    </row>
    <row r="39" spans="1:16" x14ac:dyDescent="0.3">
      <c r="A39" s="4"/>
      <c r="B39"/>
      <c r="C39"/>
      <c r="D39"/>
      <c r="E39"/>
      <c r="F39"/>
      <c r="G39"/>
      <c r="H39"/>
      <c r="I39"/>
      <c r="J39"/>
      <c r="K39"/>
    </row>
    <row r="40" spans="1:16" x14ac:dyDescent="0.3">
      <c r="A40" s="4"/>
      <c r="B40" s="20"/>
      <c r="C40" s="20"/>
      <c r="D40" s="20"/>
      <c r="E40" s="20"/>
      <c r="F40" s="20" t="s">
        <v>69</v>
      </c>
      <c r="G40" s="20" t="s">
        <v>70</v>
      </c>
      <c r="H40" s="20" t="s">
        <v>71</v>
      </c>
      <c r="I40" s="20"/>
      <c r="J40" s="20"/>
      <c r="K40" s="20"/>
    </row>
    <row r="41" spans="1:16" x14ac:dyDescent="0.3">
      <c r="A41" s="4" t="s">
        <v>72</v>
      </c>
      <c r="B41" s="18">
        <v>1</v>
      </c>
      <c r="C41">
        <v>2</v>
      </c>
      <c r="D41" t="s">
        <v>73</v>
      </c>
      <c r="E41" s="18"/>
      <c r="F41"/>
      <c r="G41"/>
      <c r="H41" s="18"/>
      <c r="I41" s="51" t="s">
        <v>74</v>
      </c>
      <c r="J41"/>
      <c r="K41" s="18"/>
    </row>
    <row r="42" spans="1:16" x14ac:dyDescent="0.3">
      <c r="A42" s="52">
        <v>0.1</v>
      </c>
      <c r="B42" s="18">
        <v>1364624.5</v>
      </c>
      <c r="C42" s="18">
        <v>2266907.5</v>
      </c>
      <c r="D42" s="18">
        <f>SUM(B42:C42)</f>
        <v>3631532</v>
      </c>
      <c r="E42"/>
      <c r="F42" s="18">
        <f>B29+E29</f>
        <v>3631532</v>
      </c>
      <c r="G42" s="18">
        <f>D42-F42</f>
        <v>0</v>
      </c>
      <c r="H42" s="18">
        <v>3577565.48</v>
      </c>
      <c r="I42" s="18">
        <f>H42*10/100</f>
        <v>357756.54799999995</v>
      </c>
      <c r="J42"/>
      <c r="K42"/>
    </row>
    <row r="43" spans="1:16" x14ac:dyDescent="0.3">
      <c r="A43" s="52">
        <v>0.2</v>
      </c>
      <c r="B43" s="18">
        <v>59460</v>
      </c>
      <c r="C43" s="18">
        <v>110077</v>
      </c>
      <c r="D43" s="18">
        <f t="shared" ref="D43:D49" si="16">SUM(B43:C43)</f>
        <v>169537</v>
      </c>
      <c r="E43" s="18"/>
      <c r="F43" s="18">
        <f>H29+K29</f>
        <v>169537</v>
      </c>
      <c r="G43" s="18">
        <f t="shared" ref="G43:G49" si="17">D43-F43</f>
        <v>0</v>
      </c>
      <c r="H43" s="18">
        <v>181726.26</v>
      </c>
      <c r="I43" s="18">
        <f>H43*20/100</f>
        <v>36345.252</v>
      </c>
      <c r="J43"/>
      <c r="K43" s="18"/>
    </row>
    <row r="44" spans="1:16" x14ac:dyDescent="0.3">
      <c r="A44" s="53" t="s">
        <v>73</v>
      </c>
      <c r="B44" s="20">
        <f>SUM(B42:B43)</f>
        <v>1424084.5</v>
      </c>
      <c r="C44" s="20">
        <f>SUM(C42:C43)</f>
        <v>2376984.5</v>
      </c>
      <c r="D44" s="20">
        <f t="shared" si="16"/>
        <v>3801069</v>
      </c>
      <c r="E44" s="18"/>
      <c r="F44" s="20">
        <f>SUM(F42:F43)</f>
        <v>3801069</v>
      </c>
      <c r="G44" s="18">
        <f t="shared" si="17"/>
        <v>0</v>
      </c>
      <c r="H44" s="18">
        <f>SUM(H42:H43)</f>
        <v>3759291.74</v>
      </c>
      <c r="I44" s="18">
        <f>SUM(I42:I43)</f>
        <v>394101.79999999993</v>
      </c>
      <c r="J44" s="18">
        <f>H44+I44</f>
        <v>4153393.54</v>
      </c>
      <c r="K44" s="18" t="s">
        <v>75</v>
      </c>
    </row>
    <row r="45" spans="1:16" x14ac:dyDescent="0.3">
      <c r="A45" s="4" t="s">
        <v>76</v>
      </c>
      <c r="B45" s="18">
        <v>105423</v>
      </c>
      <c r="C45" s="18">
        <v>204377</v>
      </c>
      <c r="D45" s="18">
        <f t="shared" si="16"/>
        <v>309800</v>
      </c>
      <c r="E45"/>
      <c r="F45" s="18">
        <f>N29+Q29</f>
        <v>309800</v>
      </c>
      <c r="G45" s="18">
        <f t="shared" si="17"/>
        <v>0</v>
      </c>
      <c r="H45" s="18"/>
      <c r="I45"/>
      <c r="J45" s="18">
        <f>F44</f>
        <v>3801069</v>
      </c>
      <c r="K45" t="s">
        <v>77</v>
      </c>
    </row>
    <row r="46" spans="1:16" x14ac:dyDescent="0.3">
      <c r="A46" s="4" t="s">
        <v>78</v>
      </c>
      <c r="B46" s="18">
        <v>1409123.5</v>
      </c>
      <c r="C46" s="18">
        <v>2318910</v>
      </c>
      <c r="D46" s="18">
        <f t="shared" si="16"/>
        <v>3728033.5</v>
      </c>
      <c r="E46"/>
      <c r="F46" s="18">
        <f>O29+P29+R31</f>
        <v>3728033.5</v>
      </c>
      <c r="G46" s="18">
        <f t="shared" si="17"/>
        <v>0</v>
      </c>
      <c r="H46" s="18"/>
      <c r="I46"/>
      <c r="J46" s="18">
        <f>Q29+R31</f>
        <v>236764.5</v>
      </c>
      <c r="K46" t="s">
        <v>79</v>
      </c>
    </row>
    <row r="47" spans="1:16" x14ac:dyDescent="0.3">
      <c r="A47" s="53" t="s">
        <v>73</v>
      </c>
      <c r="B47" s="20">
        <f>SUM(B45:B46)</f>
        <v>1514546.5</v>
      </c>
      <c r="C47" s="20">
        <f>SUM(C45:C46)</f>
        <v>2523287</v>
      </c>
      <c r="D47" s="20">
        <f t="shared" si="16"/>
        <v>4037833.5</v>
      </c>
      <c r="E47" s="20"/>
      <c r="F47" s="20">
        <f>SUM(F45:F46)</f>
        <v>4037833.5</v>
      </c>
      <c r="G47" s="18">
        <f t="shared" si="17"/>
        <v>0</v>
      </c>
      <c r="H47" s="18"/>
      <c r="I47"/>
      <c r="J47" s="18">
        <f>J44-J45-J46</f>
        <v>115560.04000000004</v>
      </c>
      <c r="K47"/>
    </row>
    <row r="48" spans="1:16" x14ac:dyDescent="0.3">
      <c r="A48" s="54" t="s">
        <v>80</v>
      </c>
      <c r="B48" s="55">
        <f>B47-B44</f>
        <v>90462</v>
      </c>
      <c r="C48" s="55">
        <f t="shared" ref="C48:D48" si="18">C47-C44</f>
        <v>146302.5</v>
      </c>
      <c r="D48" s="55">
        <f t="shared" si="18"/>
        <v>236764.5</v>
      </c>
      <c r="E48" s="23"/>
      <c r="F48"/>
      <c r="G48" s="18"/>
      <c r="H48" s="18"/>
      <c r="I48"/>
      <c r="J48" s="18">
        <v>106320</v>
      </c>
      <c r="K48" t="s">
        <v>81</v>
      </c>
    </row>
    <row r="49" spans="1:11" x14ac:dyDescent="0.3">
      <c r="A49" s="56" t="s">
        <v>82</v>
      </c>
      <c r="B49" s="57">
        <v>90462</v>
      </c>
      <c r="C49" s="57">
        <v>146302.5</v>
      </c>
      <c r="D49" s="57">
        <f t="shared" si="16"/>
        <v>236764.5</v>
      </c>
      <c r="E49" s="23"/>
      <c r="F49" s="20">
        <f>Q29+R31</f>
        <v>236764.5</v>
      </c>
      <c r="G49" s="18">
        <f t="shared" si="17"/>
        <v>0</v>
      </c>
      <c r="H49" s="18"/>
      <c r="I49"/>
      <c r="J49" s="20">
        <f>J47-J48</f>
        <v>9240.0400000000373</v>
      </c>
      <c r="K49" s="58" t="s">
        <v>83</v>
      </c>
    </row>
    <row r="50" spans="1:11" x14ac:dyDescent="0.3">
      <c r="A50" s="4"/>
      <c r="B50"/>
      <c r="C50"/>
      <c r="D50"/>
      <c r="E50"/>
      <c r="F50"/>
      <c r="G50"/>
      <c r="H50"/>
      <c r="I50"/>
      <c r="J50"/>
      <c r="K50"/>
    </row>
    <row r="51" spans="1:11" x14ac:dyDescent="0.3">
      <c r="A51" s="4"/>
      <c r="B51"/>
      <c r="C51"/>
      <c r="D51"/>
      <c r="E51"/>
      <c r="F51"/>
      <c r="G51"/>
      <c r="H51"/>
      <c r="I51"/>
      <c r="J51"/>
      <c r="K51"/>
    </row>
    <row r="52" spans="1:11" x14ac:dyDescent="0.3">
      <c r="A52" s="4"/>
      <c r="B52"/>
      <c r="C52"/>
      <c r="D52"/>
      <c r="E52"/>
      <c r="F52"/>
      <c r="G52"/>
      <c r="H52"/>
      <c r="I52"/>
      <c r="J52"/>
      <c r="K52"/>
    </row>
  </sheetData>
  <mergeCells count="1">
    <mergeCell ref="Q1:R1"/>
  </mergeCells>
  <pageMargins left="0.7" right="0.7" top="0.75" bottom="0.75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topLeftCell="A25" workbookViewId="0">
      <selection activeCell="J43" sqref="J43"/>
    </sheetView>
  </sheetViews>
  <sheetFormatPr defaultRowHeight="14.4" x14ac:dyDescent="0.3"/>
  <cols>
    <col min="1" max="1" width="12.109375" style="47" bestFit="1" customWidth="1"/>
    <col min="2" max="4" width="11.6640625" style="41" bestFit="1" customWidth="1"/>
    <col min="5" max="5" width="10.109375" style="41" bestFit="1" customWidth="1"/>
    <col min="6" max="6" width="11.6640625" style="41" bestFit="1" customWidth="1"/>
    <col min="7" max="8" width="11.5546875" style="41" bestFit="1" customWidth="1"/>
    <col min="9" max="9" width="11.77734375" style="41" customWidth="1"/>
    <col min="10" max="10" width="11.6640625" style="41" bestFit="1" customWidth="1"/>
    <col min="11" max="11" width="12.21875" style="41" customWidth="1"/>
    <col min="12" max="12" width="11.44140625" style="41" customWidth="1"/>
    <col min="13" max="13" width="11.5546875" style="41" customWidth="1"/>
    <col min="14" max="14" width="11.33203125" style="41" customWidth="1"/>
    <col min="15" max="15" width="11.6640625" style="41" bestFit="1" customWidth="1"/>
    <col min="16" max="16" width="10.21875" style="41" bestFit="1" customWidth="1"/>
    <col min="17" max="17" width="13.5546875" style="41" customWidth="1"/>
    <col min="18" max="18" width="11.44140625" style="41" bestFit="1" customWidth="1"/>
    <col min="19" max="19" width="21.44140625" style="47" customWidth="1"/>
    <col min="20" max="16384" width="8.88671875" style="41"/>
  </cols>
  <sheetData>
    <row r="1" spans="1:19" x14ac:dyDescent="0.3">
      <c r="A1" s="61" t="s">
        <v>0</v>
      </c>
      <c r="B1" s="40" t="s">
        <v>1</v>
      </c>
      <c r="C1" s="40"/>
      <c r="D1" s="40"/>
      <c r="E1" s="40" t="s">
        <v>2</v>
      </c>
      <c r="F1" s="40"/>
      <c r="G1" s="40"/>
      <c r="H1" s="40" t="s">
        <v>3</v>
      </c>
      <c r="I1" s="40"/>
      <c r="J1" s="40"/>
      <c r="K1" s="40" t="s">
        <v>4</v>
      </c>
      <c r="L1" s="40"/>
      <c r="M1" s="40"/>
      <c r="N1" s="40" t="s">
        <v>5</v>
      </c>
      <c r="O1" s="40" t="s">
        <v>6</v>
      </c>
      <c r="P1" s="40" t="s">
        <v>7</v>
      </c>
      <c r="Q1" s="68" t="s">
        <v>8</v>
      </c>
      <c r="R1" s="68"/>
      <c r="S1" s="61" t="s">
        <v>9</v>
      </c>
    </row>
    <row r="2" spans="1:19" x14ac:dyDescent="0.3">
      <c r="A2" s="42"/>
      <c r="B2" s="43">
        <v>0.1</v>
      </c>
      <c r="C2" s="43"/>
      <c r="D2" s="43"/>
      <c r="E2" s="43">
        <v>0.1</v>
      </c>
      <c r="F2" s="43"/>
      <c r="G2" s="43"/>
      <c r="H2" s="43">
        <v>0.2</v>
      </c>
      <c r="I2" s="43"/>
      <c r="J2" s="43"/>
      <c r="K2" s="43">
        <v>0.2</v>
      </c>
      <c r="L2" s="43"/>
      <c r="M2" s="43"/>
      <c r="N2" s="61"/>
      <c r="O2" s="61"/>
      <c r="P2" s="61"/>
      <c r="Q2" s="61" t="s">
        <v>5</v>
      </c>
      <c r="R2" s="61" t="s">
        <v>11</v>
      </c>
      <c r="S2" s="44"/>
    </row>
    <row r="3" spans="1:19" x14ac:dyDescent="0.3">
      <c r="A3" s="42">
        <v>45931</v>
      </c>
      <c r="B3" s="16">
        <f>15082.5+69705</f>
        <v>84787.5</v>
      </c>
      <c r="C3" s="45">
        <f>B3/1.1</f>
        <v>77079.545454545441</v>
      </c>
      <c r="D3" s="45">
        <f>C3*10/100</f>
        <v>7707.9545454545432</v>
      </c>
      <c r="E3" s="16">
        <f>765+5180</f>
        <v>5945</v>
      </c>
      <c r="F3" s="45">
        <f>E3/1.1</f>
        <v>5404.545454545454</v>
      </c>
      <c r="G3" s="45">
        <f>F3*10/100</f>
        <v>540.4545454545455</v>
      </c>
      <c r="H3" s="16">
        <f>2400</f>
        <v>2400</v>
      </c>
      <c r="I3" s="45">
        <f>H3/1.2</f>
        <v>2000</v>
      </c>
      <c r="J3" s="45">
        <f>I3*20/100</f>
        <v>400</v>
      </c>
      <c r="K3" s="16">
        <f>480+3840</f>
        <v>4320</v>
      </c>
      <c r="L3" s="45">
        <f>K3/1.2</f>
        <v>3600</v>
      </c>
      <c r="M3" s="45">
        <f>L3*20/100</f>
        <v>720</v>
      </c>
      <c r="N3" s="16">
        <v>7297</v>
      </c>
      <c r="O3" s="16">
        <f>16327.5+73828-2685</f>
        <v>87470.5</v>
      </c>
      <c r="P3" s="16">
        <v>2685</v>
      </c>
      <c r="Q3" s="45">
        <v>0</v>
      </c>
      <c r="R3" s="45">
        <f>15210+10395</f>
        <v>25605</v>
      </c>
      <c r="S3" s="44"/>
    </row>
    <row r="4" spans="1:19" x14ac:dyDescent="0.3">
      <c r="A4" s="42">
        <v>45932</v>
      </c>
      <c r="B4" s="16">
        <v>63840</v>
      </c>
      <c r="C4" s="45">
        <f t="shared" ref="C4:C25" si="0">B4/1.1</f>
        <v>58036.363636363632</v>
      </c>
      <c r="D4" s="45">
        <f t="shared" ref="D4:D25" si="1">C4*10/100</f>
        <v>5803.636363636364</v>
      </c>
      <c r="E4" s="16">
        <v>6410</v>
      </c>
      <c r="F4" s="45">
        <f t="shared" ref="F4:F25" si="2">E4/1.1</f>
        <v>5827.272727272727</v>
      </c>
      <c r="G4" s="45">
        <f t="shared" ref="G4:G25" si="3">F4*10/100</f>
        <v>582.72727272727275</v>
      </c>
      <c r="H4" s="16">
        <v>850</v>
      </c>
      <c r="I4" s="45">
        <f t="shared" ref="I4:I25" si="4">H4/1.2</f>
        <v>708.33333333333337</v>
      </c>
      <c r="J4" s="45">
        <f t="shared" ref="J4:J25" si="5">I4*20/100</f>
        <v>141.66666666666669</v>
      </c>
      <c r="K4" s="16">
        <v>3360</v>
      </c>
      <c r="L4" s="45">
        <f t="shared" ref="L4:L25" si="6">K4/1.2</f>
        <v>2800</v>
      </c>
      <c r="M4" s="45">
        <f t="shared" ref="M4:M25" si="7">L4*20/100</f>
        <v>560</v>
      </c>
      <c r="N4" s="16">
        <v>4740</v>
      </c>
      <c r="O4" s="16">
        <f>69720-1365</f>
        <v>68355</v>
      </c>
      <c r="P4" s="16">
        <v>1365</v>
      </c>
      <c r="Q4" s="45">
        <v>0</v>
      </c>
      <c r="R4" s="45">
        <v>28230</v>
      </c>
      <c r="S4" s="44"/>
    </row>
    <row r="5" spans="1:19" x14ac:dyDescent="0.3">
      <c r="A5" s="42">
        <v>45933</v>
      </c>
      <c r="B5" s="16">
        <f>11030+65733</f>
        <v>76763</v>
      </c>
      <c r="C5" s="45">
        <f t="shared" si="0"/>
        <v>69784.545454545456</v>
      </c>
      <c r="D5" s="45">
        <f t="shared" si="1"/>
        <v>6978.454545454546</v>
      </c>
      <c r="E5" s="16">
        <f>1000+4015</f>
        <v>5015</v>
      </c>
      <c r="F5" s="45">
        <f t="shared" si="2"/>
        <v>4559.090909090909</v>
      </c>
      <c r="G5" s="45">
        <f t="shared" si="3"/>
        <v>455.90909090909088</v>
      </c>
      <c r="H5" s="45">
        <f>0</f>
        <v>0</v>
      </c>
      <c r="I5" s="45">
        <f t="shared" si="4"/>
        <v>0</v>
      </c>
      <c r="J5" s="45">
        <f t="shared" si="5"/>
        <v>0</v>
      </c>
      <c r="K5" s="16">
        <f>840+3648</f>
        <v>4488</v>
      </c>
      <c r="L5" s="45">
        <f t="shared" si="6"/>
        <v>3740</v>
      </c>
      <c r="M5" s="45">
        <f t="shared" si="7"/>
        <v>748</v>
      </c>
      <c r="N5" s="16">
        <f>4595+5825</f>
        <v>10420</v>
      </c>
      <c r="O5" s="16">
        <f>8275+67571-4120</f>
        <v>71726</v>
      </c>
      <c r="P5" s="16">
        <v>4120</v>
      </c>
      <c r="Q5" s="45">
        <v>0</v>
      </c>
      <c r="R5" s="45">
        <v>10535</v>
      </c>
      <c r="S5" s="46"/>
    </row>
    <row r="6" spans="1:19" x14ac:dyDescent="0.3">
      <c r="A6" s="42">
        <v>45934</v>
      </c>
      <c r="B6" s="16">
        <f>68360+140340</f>
        <v>208700</v>
      </c>
      <c r="C6" s="45">
        <f t="shared" si="0"/>
        <v>189727.27272727271</v>
      </c>
      <c r="D6" s="45">
        <f t="shared" si="1"/>
        <v>18972.727272727272</v>
      </c>
      <c r="E6" s="16">
        <f>4080+9940</f>
        <v>14020</v>
      </c>
      <c r="F6" s="45">
        <f t="shared" si="2"/>
        <v>12745.454545454544</v>
      </c>
      <c r="G6" s="45">
        <f t="shared" si="3"/>
        <v>1274.5454545454545</v>
      </c>
      <c r="H6" s="16">
        <f>400</f>
        <v>400</v>
      </c>
      <c r="I6" s="45">
        <f t="shared" si="4"/>
        <v>333.33333333333337</v>
      </c>
      <c r="J6" s="45">
        <f t="shared" si="5"/>
        <v>66.666666666666686</v>
      </c>
      <c r="K6" s="16">
        <f>2620+5160</f>
        <v>7780</v>
      </c>
      <c r="L6" s="45">
        <f t="shared" si="6"/>
        <v>6483.3333333333339</v>
      </c>
      <c r="M6" s="45">
        <f t="shared" si="7"/>
        <v>1296.666666666667</v>
      </c>
      <c r="N6" s="16">
        <f>13625+6270</f>
        <v>19895</v>
      </c>
      <c r="O6" s="16">
        <f>61435+149570-1790</f>
        <v>209215</v>
      </c>
      <c r="P6" s="16">
        <v>1790</v>
      </c>
      <c r="Q6" s="45">
        <v>0</v>
      </c>
      <c r="R6" s="45">
        <v>1790</v>
      </c>
      <c r="S6" s="46"/>
    </row>
    <row r="7" spans="1:19" x14ac:dyDescent="0.3">
      <c r="A7" s="42">
        <v>45935</v>
      </c>
      <c r="B7" s="16">
        <f>76242.5+131555</f>
        <v>207797.5</v>
      </c>
      <c r="C7" s="45">
        <f t="shared" si="0"/>
        <v>188906.81818181818</v>
      </c>
      <c r="D7" s="45">
        <f t="shared" si="1"/>
        <v>18890.681818181816</v>
      </c>
      <c r="E7" s="16">
        <f>5855+11510</f>
        <v>17365</v>
      </c>
      <c r="F7" s="45">
        <f t="shared" si="2"/>
        <v>15786.363636363634</v>
      </c>
      <c r="G7" s="45">
        <f t="shared" si="3"/>
        <v>1578.6363636363635</v>
      </c>
      <c r="H7" s="16">
        <f>1335+1050</f>
        <v>2385</v>
      </c>
      <c r="I7" s="45">
        <f t="shared" si="4"/>
        <v>1987.5</v>
      </c>
      <c r="J7" s="45">
        <f t="shared" si="5"/>
        <v>397.5</v>
      </c>
      <c r="K7" s="16">
        <f>2160+3720</f>
        <v>5880</v>
      </c>
      <c r="L7" s="45">
        <f t="shared" si="6"/>
        <v>4900</v>
      </c>
      <c r="M7" s="45">
        <f t="shared" si="7"/>
        <v>980</v>
      </c>
      <c r="N7" s="16">
        <f>2120+9760</f>
        <v>11880</v>
      </c>
      <c r="O7" s="16">
        <f>83472.5+138075-5550</f>
        <v>215997.5</v>
      </c>
      <c r="P7" s="16">
        <v>5550</v>
      </c>
      <c r="Q7" s="45">
        <v>0</v>
      </c>
      <c r="R7" s="45">
        <v>18985</v>
      </c>
      <c r="S7" s="44"/>
    </row>
    <row r="8" spans="1:19" x14ac:dyDescent="0.3">
      <c r="A8" s="42">
        <v>45937</v>
      </c>
      <c r="B8" s="16">
        <f>71343</f>
        <v>71343</v>
      </c>
      <c r="C8" s="45">
        <f t="shared" si="0"/>
        <v>64857.272727272721</v>
      </c>
      <c r="D8" s="45">
        <f t="shared" si="1"/>
        <v>6485.7272727272721</v>
      </c>
      <c r="E8" s="16">
        <v>4700</v>
      </c>
      <c r="F8" s="45">
        <f t="shared" si="2"/>
        <v>4272.7272727272721</v>
      </c>
      <c r="G8" s="45">
        <f t="shared" si="3"/>
        <v>427.2727272727272</v>
      </c>
      <c r="H8" s="45">
        <v>0</v>
      </c>
      <c r="I8" s="45">
        <f t="shared" si="4"/>
        <v>0</v>
      </c>
      <c r="J8" s="45">
        <f t="shared" si="5"/>
        <v>0</v>
      </c>
      <c r="K8" s="16">
        <v>3480</v>
      </c>
      <c r="L8" s="45">
        <f t="shared" si="6"/>
        <v>2900</v>
      </c>
      <c r="M8" s="45">
        <f t="shared" si="7"/>
        <v>580</v>
      </c>
      <c r="N8" s="16">
        <v>11138</v>
      </c>
      <c r="O8" s="16">
        <f>68385-3530</f>
        <v>64855</v>
      </c>
      <c r="P8" s="16">
        <v>3530</v>
      </c>
      <c r="Q8" s="45">
        <v>0</v>
      </c>
      <c r="R8" s="45">
        <v>0</v>
      </c>
      <c r="S8" s="44"/>
    </row>
    <row r="9" spans="1:19" x14ac:dyDescent="0.3">
      <c r="A9" s="42">
        <v>45938</v>
      </c>
      <c r="B9" s="16">
        <f>36105+43120</f>
        <v>79225</v>
      </c>
      <c r="C9" s="45">
        <f t="shared" si="0"/>
        <v>72022.727272727265</v>
      </c>
      <c r="D9" s="45">
        <f t="shared" si="1"/>
        <v>7202.272727272727</v>
      </c>
      <c r="E9" s="16">
        <f>2030+3695</f>
        <v>5725</v>
      </c>
      <c r="F9" s="45">
        <f t="shared" si="2"/>
        <v>5204.545454545454</v>
      </c>
      <c r="G9" s="45">
        <f t="shared" si="3"/>
        <v>520.4545454545455</v>
      </c>
      <c r="H9" s="16">
        <f>250+200</f>
        <v>450</v>
      </c>
      <c r="I9" s="45">
        <f t="shared" si="4"/>
        <v>375</v>
      </c>
      <c r="J9" s="45">
        <f t="shared" si="5"/>
        <v>75</v>
      </c>
      <c r="K9" s="16">
        <f>1920+3000</f>
        <v>4920</v>
      </c>
      <c r="L9" s="45">
        <f t="shared" si="6"/>
        <v>4100</v>
      </c>
      <c r="M9" s="45">
        <f t="shared" si="7"/>
        <v>820</v>
      </c>
      <c r="N9" s="16">
        <f>6734+2190</f>
        <v>8924</v>
      </c>
      <c r="O9" s="16">
        <f>33571-895+47825-685</f>
        <v>79816</v>
      </c>
      <c r="P9" s="16">
        <f>895+685</f>
        <v>1580</v>
      </c>
      <c r="Q9" s="45">
        <v>0</v>
      </c>
      <c r="R9" s="45">
        <v>0</v>
      </c>
      <c r="S9" s="44"/>
    </row>
    <row r="10" spans="1:19" x14ac:dyDescent="0.3">
      <c r="A10" s="42">
        <v>45939</v>
      </c>
      <c r="B10" s="16">
        <f>31235+6230</f>
        <v>37465</v>
      </c>
      <c r="C10" s="45">
        <f t="shared" si="0"/>
        <v>34059.090909090904</v>
      </c>
      <c r="D10" s="45">
        <f t="shared" si="1"/>
        <v>3405.9090909090905</v>
      </c>
      <c r="E10" s="16">
        <f>2740+900</f>
        <v>3640</v>
      </c>
      <c r="F10" s="45">
        <f t="shared" si="2"/>
        <v>3309.090909090909</v>
      </c>
      <c r="G10" s="45">
        <f t="shared" si="3"/>
        <v>330.90909090909088</v>
      </c>
      <c r="H10" s="45">
        <f>0</f>
        <v>0</v>
      </c>
      <c r="I10" s="45">
        <f t="shared" si="4"/>
        <v>0</v>
      </c>
      <c r="J10" s="45">
        <f t="shared" si="5"/>
        <v>0</v>
      </c>
      <c r="K10" s="16">
        <f>1440+480</f>
        <v>1920</v>
      </c>
      <c r="L10" s="45">
        <f t="shared" si="6"/>
        <v>1600</v>
      </c>
      <c r="M10" s="45">
        <f t="shared" si="7"/>
        <v>320</v>
      </c>
      <c r="N10" s="16">
        <f>2180</f>
        <v>2180</v>
      </c>
      <c r="O10" s="16">
        <f>33235-3000+7610</f>
        <v>37845</v>
      </c>
      <c r="P10" s="16">
        <v>3000</v>
      </c>
      <c r="Q10" s="45">
        <v>0</v>
      </c>
      <c r="R10" s="45">
        <v>0</v>
      </c>
      <c r="S10" s="44"/>
    </row>
    <row r="11" spans="1:19" x14ac:dyDescent="0.3">
      <c r="A11" s="42">
        <v>45940</v>
      </c>
      <c r="B11" s="16">
        <f>65015+46950</f>
        <v>111965</v>
      </c>
      <c r="C11" s="45">
        <f t="shared" si="0"/>
        <v>101786.36363636363</v>
      </c>
      <c r="D11" s="45">
        <f t="shared" si="1"/>
        <v>10178.636363636364</v>
      </c>
      <c r="E11" s="16">
        <f>5520+2165</f>
        <v>7685</v>
      </c>
      <c r="F11" s="45">
        <f t="shared" si="2"/>
        <v>6986.363636363636</v>
      </c>
      <c r="G11" s="45">
        <f t="shared" si="3"/>
        <v>698.63636363636351</v>
      </c>
      <c r="H11" s="16">
        <f>300+200</f>
        <v>500</v>
      </c>
      <c r="I11" s="45">
        <f t="shared" si="4"/>
        <v>416.66666666666669</v>
      </c>
      <c r="J11" s="45">
        <f t="shared" si="5"/>
        <v>83.333333333333343</v>
      </c>
      <c r="K11" s="16">
        <f>6240+1800</f>
        <v>8040</v>
      </c>
      <c r="L11" s="45">
        <f t="shared" si="6"/>
        <v>6700</v>
      </c>
      <c r="M11" s="45">
        <f t="shared" si="7"/>
        <v>1340</v>
      </c>
      <c r="N11" s="16">
        <f>3085+3235</f>
        <v>6320</v>
      </c>
      <c r="O11" s="16">
        <f>73990+47880</f>
        <v>121870</v>
      </c>
      <c r="P11" s="45">
        <v>0</v>
      </c>
      <c r="Q11" s="45">
        <v>0</v>
      </c>
      <c r="R11" s="45">
        <v>0</v>
      </c>
      <c r="S11" s="44"/>
    </row>
    <row r="12" spans="1:19" x14ac:dyDescent="0.3">
      <c r="A12" s="42">
        <v>45941</v>
      </c>
      <c r="B12" s="16">
        <f>100477.5+85215</f>
        <v>185692.5</v>
      </c>
      <c r="C12" s="45">
        <f t="shared" si="0"/>
        <v>168811.36363636362</v>
      </c>
      <c r="D12" s="45">
        <f t="shared" si="1"/>
        <v>16881.136363636364</v>
      </c>
      <c r="E12" s="16">
        <f>7495+7285</f>
        <v>14780</v>
      </c>
      <c r="F12" s="45">
        <f t="shared" si="2"/>
        <v>13436.363636363636</v>
      </c>
      <c r="G12" s="45">
        <f t="shared" si="3"/>
        <v>1343.6363636363635</v>
      </c>
      <c r="H12" s="45">
        <v>0</v>
      </c>
      <c r="I12" s="45">
        <f t="shared" si="4"/>
        <v>0</v>
      </c>
      <c r="J12" s="45">
        <f t="shared" si="5"/>
        <v>0</v>
      </c>
      <c r="K12" s="16">
        <f>2760+3360</f>
        <v>6120</v>
      </c>
      <c r="L12" s="45">
        <f t="shared" si="6"/>
        <v>5100</v>
      </c>
      <c r="M12" s="45">
        <f t="shared" si="7"/>
        <v>1020</v>
      </c>
      <c r="N12" s="16">
        <f>1855+5625</f>
        <v>7480</v>
      </c>
      <c r="O12" s="16">
        <f>108877.5-8635+90235</f>
        <v>190477.5</v>
      </c>
      <c r="P12" s="16">
        <v>8635</v>
      </c>
      <c r="Q12" s="45"/>
      <c r="R12" s="45"/>
      <c r="S12" s="44"/>
    </row>
    <row r="13" spans="1:19" x14ac:dyDescent="0.3">
      <c r="A13" s="42">
        <v>45942</v>
      </c>
      <c r="B13" s="16">
        <f>87430+155566</f>
        <v>242996</v>
      </c>
      <c r="C13" s="45">
        <f t="shared" si="0"/>
        <v>220905.45454545453</v>
      </c>
      <c r="D13" s="45">
        <f t="shared" si="1"/>
        <v>22090.545454545456</v>
      </c>
      <c r="E13" s="16">
        <f>7610+15015</f>
        <v>22625</v>
      </c>
      <c r="F13" s="45">
        <f t="shared" si="2"/>
        <v>20568.181818181816</v>
      </c>
      <c r="G13" s="45">
        <f t="shared" si="3"/>
        <v>2056.818181818182</v>
      </c>
      <c r="H13" s="16">
        <f>1200+2150</f>
        <v>3350</v>
      </c>
      <c r="I13" s="45">
        <f t="shared" si="4"/>
        <v>2791.666666666667</v>
      </c>
      <c r="J13" s="45">
        <f t="shared" si="5"/>
        <v>558.33333333333348</v>
      </c>
      <c r="K13" s="16">
        <f>2400+3000</f>
        <v>5400</v>
      </c>
      <c r="L13" s="45">
        <f t="shared" si="6"/>
        <v>4500</v>
      </c>
      <c r="M13" s="45">
        <f t="shared" si="7"/>
        <v>900</v>
      </c>
      <c r="N13" s="16">
        <f>9615+10975</f>
        <v>20590</v>
      </c>
      <c r="O13" s="16">
        <f>89025-2080+164756-6745</f>
        <v>244956</v>
      </c>
      <c r="P13" s="16">
        <f>2080+6745</f>
        <v>8825</v>
      </c>
      <c r="Q13" s="45">
        <v>0</v>
      </c>
      <c r="R13" s="45">
        <v>2145</v>
      </c>
      <c r="S13" s="44"/>
    </row>
    <row r="14" spans="1:19" x14ac:dyDescent="0.3">
      <c r="A14" s="42">
        <v>45944</v>
      </c>
      <c r="B14" s="16">
        <f>49970+22605</f>
        <v>72575</v>
      </c>
      <c r="C14" s="45">
        <f t="shared" si="0"/>
        <v>65977.272727272721</v>
      </c>
      <c r="D14" s="45">
        <f t="shared" si="1"/>
        <v>6597.7272727272721</v>
      </c>
      <c r="E14" s="16">
        <f>4790+3375</f>
        <v>8165</v>
      </c>
      <c r="F14" s="45">
        <f t="shared" si="2"/>
        <v>7422.7272727272721</v>
      </c>
      <c r="G14" s="45">
        <f t="shared" si="3"/>
        <v>742.27272727272725</v>
      </c>
      <c r="H14" s="45">
        <v>0</v>
      </c>
      <c r="I14" s="45">
        <f t="shared" si="4"/>
        <v>0</v>
      </c>
      <c r="J14" s="45">
        <f t="shared" si="5"/>
        <v>0</v>
      </c>
      <c r="K14" s="16">
        <f>840+1920</f>
        <v>2760</v>
      </c>
      <c r="L14" s="45">
        <f t="shared" si="6"/>
        <v>2300</v>
      </c>
      <c r="M14" s="45">
        <f t="shared" si="7"/>
        <v>460</v>
      </c>
      <c r="N14" s="16">
        <f>5890+635</f>
        <v>6525</v>
      </c>
      <c r="O14" s="16">
        <f>49710-395+27265-2365</f>
        <v>74215</v>
      </c>
      <c r="P14" s="16">
        <f>395+2365</f>
        <v>2760</v>
      </c>
      <c r="Q14" s="45">
        <v>0</v>
      </c>
      <c r="R14" s="45">
        <f>1790+13770</f>
        <v>15560</v>
      </c>
      <c r="S14" s="44"/>
    </row>
    <row r="15" spans="1:19" x14ac:dyDescent="0.3">
      <c r="A15" s="42">
        <v>45945</v>
      </c>
      <c r="B15" s="16">
        <f>67675+14250</f>
        <v>81925</v>
      </c>
      <c r="C15" s="45">
        <f t="shared" si="0"/>
        <v>74477.272727272721</v>
      </c>
      <c r="D15" s="45">
        <f t="shared" si="1"/>
        <v>7447.7272727272721</v>
      </c>
      <c r="E15" s="16">
        <f>7115+2500</f>
        <v>9615</v>
      </c>
      <c r="F15" s="45">
        <f t="shared" si="2"/>
        <v>8740.9090909090901</v>
      </c>
      <c r="G15" s="45">
        <f t="shared" si="3"/>
        <v>874.09090909090901</v>
      </c>
      <c r="H15" s="16">
        <v>500</v>
      </c>
      <c r="I15" s="45">
        <f t="shared" si="4"/>
        <v>416.66666666666669</v>
      </c>
      <c r="J15" s="45">
        <f t="shared" si="5"/>
        <v>83.333333333333343</v>
      </c>
      <c r="K15" s="16">
        <f>2640+1080</f>
        <v>3720</v>
      </c>
      <c r="L15" s="45">
        <f t="shared" si="6"/>
        <v>3100</v>
      </c>
      <c r="M15" s="45">
        <f t="shared" si="7"/>
        <v>620</v>
      </c>
      <c r="N15" s="16">
        <f>5485+2530</f>
        <v>8015</v>
      </c>
      <c r="O15" s="16">
        <f>72445-11860+15300-4400</f>
        <v>71485</v>
      </c>
      <c r="P15" s="16">
        <f>11860+4400</f>
        <v>16260</v>
      </c>
      <c r="Q15" s="45">
        <v>0</v>
      </c>
      <c r="R15" s="45">
        <v>5370</v>
      </c>
      <c r="S15" s="44"/>
    </row>
    <row r="16" spans="1:19" x14ac:dyDescent="0.3">
      <c r="A16" s="42">
        <v>45946</v>
      </c>
      <c r="B16" s="16">
        <f>61047.5+24326</f>
        <v>85373.5</v>
      </c>
      <c r="C16" s="45">
        <f t="shared" si="0"/>
        <v>77612.272727272721</v>
      </c>
      <c r="D16" s="45">
        <f t="shared" si="1"/>
        <v>7761.2272727272721</v>
      </c>
      <c r="E16" s="16">
        <f>3520+2810</f>
        <v>6330</v>
      </c>
      <c r="F16" s="45">
        <f t="shared" si="2"/>
        <v>5754.545454545454</v>
      </c>
      <c r="G16" s="45">
        <f t="shared" si="3"/>
        <v>575.4545454545455</v>
      </c>
      <c r="H16" s="45">
        <v>0</v>
      </c>
      <c r="I16" s="45">
        <f t="shared" si="4"/>
        <v>0</v>
      </c>
      <c r="J16" s="45">
        <f t="shared" si="5"/>
        <v>0</v>
      </c>
      <c r="K16" s="16">
        <f>3120+2040</f>
        <v>5160</v>
      </c>
      <c r="L16" s="45">
        <f t="shared" si="6"/>
        <v>4300</v>
      </c>
      <c r="M16" s="45">
        <f t="shared" si="7"/>
        <v>860</v>
      </c>
      <c r="N16" s="16">
        <f>1837.5+4615</f>
        <v>6452.5</v>
      </c>
      <c r="O16" s="16">
        <f>65850-10235+24561-10365</f>
        <v>69811</v>
      </c>
      <c r="P16" s="16">
        <f>10235+10365</f>
        <v>20600</v>
      </c>
      <c r="Q16" s="45">
        <v>0</v>
      </c>
      <c r="R16" s="45">
        <v>0</v>
      </c>
      <c r="S16" s="44"/>
    </row>
    <row r="17" spans="1:19" x14ac:dyDescent="0.3">
      <c r="A17" s="42">
        <v>45947</v>
      </c>
      <c r="B17" s="16">
        <f>53840+46370</f>
        <v>100210</v>
      </c>
      <c r="C17" s="45">
        <f t="shared" si="0"/>
        <v>91099.999999999985</v>
      </c>
      <c r="D17" s="45">
        <f t="shared" si="1"/>
        <v>9109.9999999999982</v>
      </c>
      <c r="E17" s="16">
        <f>7170+4570</f>
        <v>11740</v>
      </c>
      <c r="F17" s="45">
        <f t="shared" si="2"/>
        <v>10672.727272727272</v>
      </c>
      <c r="G17" s="45">
        <f t="shared" si="3"/>
        <v>1067.2727272727273</v>
      </c>
      <c r="H17" s="16">
        <f>800+1100</f>
        <v>1900</v>
      </c>
      <c r="I17" s="45">
        <f t="shared" si="4"/>
        <v>1583.3333333333335</v>
      </c>
      <c r="J17" s="45">
        <f t="shared" si="5"/>
        <v>316.66666666666674</v>
      </c>
      <c r="K17" s="16">
        <f>2760+3600</f>
        <v>6360</v>
      </c>
      <c r="L17" s="45">
        <f t="shared" si="6"/>
        <v>5300</v>
      </c>
      <c r="M17" s="45">
        <f t="shared" si="7"/>
        <v>1060</v>
      </c>
      <c r="N17" s="16">
        <f>8400+5</f>
        <v>8405</v>
      </c>
      <c r="O17" s="16">
        <f>56170+55635</f>
        <v>111805</v>
      </c>
      <c r="P17" s="45">
        <v>0</v>
      </c>
      <c r="Q17" s="45">
        <v>0</v>
      </c>
      <c r="R17" s="45">
        <v>19420</v>
      </c>
      <c r="S17" s="44"/>
    </row>
    <row r="18" spans="1:19" x14ac:dyDescent="0.3">
      <c r="A18" s="42">
        <v>45948</v>
      </c>
      <c r="B18" s="16">
        <f>106672.5+45225</f>
        <v>151897.5</v>
      </c>
      <c r="C18" s="45">
        <f t="shared" si="0"/>
        <v>138088.63636363635</v>
      </c>
      <c r="D18" s="45">
        <f t="shared" si="1"/>
        <v>13808.863636363636</v>
      </c>
      <c r="E18" s="16">
        <f>9880+2090</f>
        <v>11970</v>
      </c>
      <c r="F18" s="45">
        <f t="shared" si="2"/>
        <v>10881.81818181818</v>
      </c>
      <c r="G18" s="45">
        <f t="shared" si="3"/>
        <v>1088.181818181818</v>
      </c>
      <c r="H18" s="45">
        <v>0</v>
      </c>
      <c r="I18" s="45">
        <f t="shared" si="4"/>
        <v>0</v>
      </c>
      <c r="J18" s="45">
        <f t="shared" si="5"/>
        <v>0</v>
      </c>
      <c r="K18" s="16">
        <f>2760+2400</f>
        <v>5160</v>
      </c>
      <c r="L18" s="45">
        <f t="shared" si="6"/>
        <v>4300</v>
      </c>
      <c r="M18" s="45">
        <f t="shared" si="7"/>
        <v>860</v>
      </c>
      <c r="N18" s="16">
        <f>9455</f>
        <v>9455</v>
      </c>
      <c r="O18" s="16">
        <f>109857.5+49715-7901</f>
        <v>151671.5</v>
      </c>
      <c r="P18" s="16">
        <v>7901</v>
      </c>
      <c r="Q18" s="45"/>
      <c r="R18" s="45">
        <v>13720</v>
      </c>
      <c r="S18" s="44"/>
    </row>
    <row r="19" spans="1:19" x14ac:dyDescent="0.3">
      <c r="A19" s="42">
        <v>45949</v>
      </c>
      <c r="B19" s="16">
        <f>117920+126282.5</f>
        <v>244202.5</v>
      </c>
      <c r="C19" s="45">
        <f t="shared" si="0"/>
        <v>222002.27272727271</v>
      </c>
      <c r="D19" s="45">
        <f t="shared" si="1"/>
        <v>22200.227272727272</v>
      </c>
      <c r="E19" s="16">
        <f>10695+15220</f>
        <v>25915</v>
      </c>
      <c r="F19" s="45">
        <f t="shared" si="2"/>
        <v>23559.090909090908</v>
      </c>
      <c r="G19" s="45">
        <f t="shared" si="3"/>
        <v>2355.909090909091</v>
      </c>
      <c r="H19" s="16">
        <f>400</f>
        <v>400</v>
      </c>
      <c r="I19" s="45">
        <f t="shared" si="4"/>
        <v>333.33333333333337</v>
      </c>
      <c r="J19" s="45">
        <f t="shared" si="5"/>
        <v>66.666666666666686</v>
      </c>
      <c r="K19" s="16">
        <f>4080+4320</f>
        <v>8400</v>
      </c>
      <c r="L19" s="45">
        <f t="shared" si="6"/>
        <v>7000</v>
      </c>
      <c r="M19" s="45">
        <f t="shared" si="7"/>
        <v>1400</v>
      </c>
      <c r="N19" s="16">
        <f>7495+10105</f>
        <v>17600</v>
      </c>
      <c r="O19" s="16">
        <f>125200-15640+136117.5-7967.5</f>
        <v>237710</v>
      </c>
      <c r="P19" s="16">
        <f>15640+7967.5</f>
        <v>23607.5</v>
      </c>
      <c r="Q19" s="45">
        <v>0</v>
      </c>
      <c r="R19" s="45">
        <v>0</v>
      </c>
      <c r="S19" s="44" t="s">
        <v>87</v>
      </c>
    </row>
    <row r="20" spans="1:19" x14ac:dyDescent="0.3">
      <c r="A20" s="42">
        <v>45951</v>
      </c>
      <c r="B20" s="16">
        <f>54850+33502.5</f>
        <v>88352.5</v>
      </c>
      <c r="C20" s="45">
        <f t="shared" si="0"/>
        <v>80320.454545454544</v>
      </c>
      <c r="D20" s="45">
        <f t="shared" si="1"/>
        <v>8032.045454545454</v>
      </c>
      <c r="E20" s="16">
        <f>6275+2945</f>
        <v>9220</v>
      </c>
      <c r="F20" s="45">
        <f t="shared" si="2"/>
        <v>8381.818181818182</v>
      </c>
      <c r="G20" s="45">
        <f t="shared" si="3"/>
        <v>838.18181818181824</v>
      </c>
      <c r="H20" s="45">
        <f>0</f>
        <v>0</v>
      </c>
      <c r="I20" s="45">
        <f t="shared" si="4"/>
        <v>0</v>
      </c>
      <c r="J20" s="45">
        <f t="shared" si="5"/>
        <v>0</v>
      </c>
      <c r="K20" s="16">
        <f>1080+3360</f>
        <v>4440</v>
      </c>
      <c r="L20" s="45">
        <f t="shared" si="6"/>
        <v>3700</v>
      </c>
      <c r="M20" s="45">
        <f t="shared" si="7"/>
        <v>740</v>
      </c>
      <c r="N20" s="16">
        <f>7145+8354</f>
        <v>15499</v>
      </c>
      <c r="O20" s="16">
        <f>55060-3410+31453.5-5055</f>
        <v>78048.5</v>
      </c>
      <c r="P20" s="16">
        <f>3410+5055</f>
        <v>8465</v>
      </c>
      <c r="Q20" s="45">
        <v>0</v>
      </c>
      <c r="R20" s="45">
        <v>12560</v>
      </c>
      <c r="S20" s="44"/>
    </row>
    <row r="21" spans="1:19" x14ac:dyDescent="0.3">
      <c r="A21" s="42">
        <v>45952</v>
      </c>
      <c r="B21" s="16">
        <f>32730+38500</f>
        <v>71230</v>
      </c>
      <c r="C21" s="45">
        <f t="shared" si="0"/>
        <v>64754.545454545449</v>
      </c>
      <c r="D21" s="45">
        <f t="shared" si="1"/>
        <v>6475.454545454545</v>
      </c>
      <c r="E21" s="16">
        <f>2310+2890</f>
        <v>5200</v>
      </c>
      <c r="F21" s="45">
        <f t="shared" si="2"/>
        <v>4727.272727272727</v>
      </c>
      <c r="G21" s="45">
        <f t="shared" si="3"/>
        <v>472.72727272727275</v>
      </c>
      <c r="H21" s="45">
        <v>0</v>
      </c>
      <c r="I21" s="45">
        <f t="shared" si="4"/>
        <v>0</v>
      </c>
      <c r="J21" s="45">
        <f t="shared" si="5"/>
        <v>0</v>
      </c>
      <c r="K21" s="16">
        <f>1680+1440</f>
        <v>3120</v>
      </c>
      <c r="L21" s="45">
        <f t="shared" si="6"/>
        <v>2600</v>
      </c>
      <c r="M21" s="45">
        <f t="shared" si="7"/>
        <v>520</v>
      </c>
      <c r="N21" s="16">
        <f>2040</f>
        <v>2040</v>
      </c>
      <c r="O21" s="16">
        <f>34680-3750+42830</f>
        <v>73760</v>
      </c>
      <c r="P21" s="16">
        <v>3750</v>
      </c>
      <c r="Q21" s="45">
        <v>0</v>
      </c>
      <c r="R21" s="45">
        <v>8055</v>
      </c>
      <c r="S21" s="44"/>
    </row>
    <row r="22" spans="1:19" x14ac:dyDescent="0.3">
      <c r="A22" s="42">
        <v>45953</v>
      </c>
      <c r="B22" s="16">
        <f>9170+43925</f>
        <v>53095</v>
      </c>
      <c r="C22" s="45">
        <f t="shared" si="0"/>
        <v>48268.181818181816</v>
      </c>
      <c r="D22" s="45">
        <f t="shared" si="1"/>
        <v>4826.818181818182</v>
      </c>
      <c r="E22" s="16">
        <f>400+5005</f>
        <v>5405</v>
      </c>
      <c r="F22" s="45">
        <f t="shared" si="2"/>
        <v>4913.6363636363631</v>
      </c>
      <c r="G22" s="45">
        <f t="shared" si="3"/>
        <v>491.36363636363632</v>
      </c>
      <c r="H22" s="45">
        <v>0</v>
      </c>
      <c r="I22" s="45">
        <f t="shared" si="4"/>
        <v>0</v>
      </c>
      <c r="J22" s="45">
        <f t="shared" si="5"/>
        <v>0</v>
      </c>
      <c r="K22" s="16">
        <f>720+1680</f>
        <v>2400</v>
      </c>
      <c r="L22" s="45">
        <f t="shared" si="6"/>
        <v>2000</v>
      </c>
      <c r="M22" s="45">
        <f t="shared" si="7"/>
        <v>400</v>
      </c>
      <c r="N22" s="16">
        <f>12025</f>
        <v>12025</v>
      </c>
      <c r="O22" s="16">
        <f>10290-2170+38585-270</f>
        <v>46435</v>
      </c>
      <c r="P22" s="16">
        <f>2170+270</f>
        <v>2440</v>
      </c>
      <c r="Q22" s="45">
        <v>0</v>
      </c>
      <c r="R22" s="45">
        <v>21255</v>
      </c>
      <c r="S22" s="44"/>
    </row>
    <row r="23" spans="1:19" x14ac:dyDescent="0.3">
      <c r="A23" s="42">
        <v>45954</v>
      </c>
      <c r="B23" s="16">
        <f>23812.5+34922.5</f>
        <v>58735</v>
      </c>
      <c r="C23" s="45">
        <f t="shared" si="0"/>
        <v>53395.454545454544</v>
      </c>
      <c r="D23" s="45">
        <f t="shared" si="1"/>
        <v>5339.545454545454</v>
      </c>
      <c r="E23" s="16">
        <f>4665+3070</f>
        <v>7735</v>
      </c>
      <c r="F23" s="45">
        <f t="shared" si="2"/>
        <v>7031.8181818181811</v>
      </c>
      <c r="G23" s="45">
        <f t="shared" si="3"/>
        <v>703.18181818181813</v>
      </c>
      <c r="H23" s="45">
        <v>0</v>
      </c>
      <c r="I23" s="45">
        <f t="shared" si="4"/>
        <v>0</v>
      </c>
      <c r="J23" s="45">
        <f t="shared" si="5"/>
        <v>0</v>
      </c>
      <c r="K23" s="16">
        <f>600+3360</f>
        <v>3960</v>
      </c>
      <c r="L23" s="45">
        <f t="shared" si="6"/>
        <v>3300</v>
      </c>
      <c r="M23" s="45">
        <f t="shared" si="7"/>
        <v>660</v>
      </c>
      <c r="N23" s="16">
        <f>2515</f>
        <v>2515</v>
      </c>
      <c r="O23" s="16">
        <f>29077.5+38837.5</f>
        <v>67915</v>
      </c>
      <c r="P23" s="45">
        <v>0</v>
      </c>
      <c r="Q23" s="45">
        <v>0</v>
      </c>
      <c r="R23" s="45">
        <v>0</v>
      </c>
      <c r="S23" s="44"/>
    </row>
    <row r="24" spans="1:19" x14ac:dyDescent="0.3">
      <c r="A24" s="42">
        <v>45955</v>
      </c>
      <c r="B24" s="16">
        <f>93660+100451</f>
        <v>194111</v>
      </c>
      <c r="C24" s="45">
        <f t="shared" si="0"/>
        <v>176464.54545454544</v>
      </c>
      <c r="D24" s="45">
        <f t="shared" si="1"/>
        <v>17646.454545454544</v>
      </c>
      <c r="E24" s="16">
        <f>6185+10795</f>
        <v>16980</v>
      </c>
      <c r="F24" s="45">
        <f t="shared" si="2"/>
        <v>15436.363636363634</v>
      </c>
      <c r="G24" s="45">
        <f t="shared" si="3"/>
        <v>1543.6363636363635</v>
      </c>
      <c r="H24" s="16">
        <v>800</v>
      </c>
      <c r="I24" s="45">
        <f t="shared" si="4"/>
        <v>666.66666666666674</v>
      </c>
      <c r="J24" s="45">
        <f t="shared" si="5"/>
        <v>133.33333333333337</v>
      </c>
      <c r="K24" s="16">
        <f>4680+4080</f>
        <v>8760</v>
      </c>
      <c r="L24" s="45">
        <f t="shared" si="6"/>
        <v>7300</v>
      </c>
      <c r="M24" s="45">
        <f t="shared" si="7"/>
        <v>1460</v>
      </c>
      <c r="N24" s="16">
        <f>2215+6535</f>
        <v>8750</v>
      </c>
      <c r="O24" s="16">
        <f>103110+108791-4572</f>
        <v>207329</v>
      </c>
      <c r="P24" s="16">
        <v>4572</v>
      </c>
      <c r="Q24" s="45">
        <v>0</v>
      </c>
      <c r="R24" s="45">
        <f>13330+11765</f>
        <v>25095</v>
      </c>
      <c r="S24" s="44"/>
    </row>
    <row r="25" spans="1:19" x14ac:dyDescent="0.3">
      <c r="A25" s="42">
        <v>45956</v>
      </c>
      <c r="B25" s="16">
        <f>69239+183616</f>
        <v>252855</v>
      </c>
      <c r="C25" s="45">
        <f t="shared" si="0"/>
        <v>229868.18181818179</v>
      </c>
      <c r="D25" s="45">
        <f t="shared" si="1"/>
        <v>22986.81818181818</v>
      </c>
      <c r="E25" s="16">
        <f>5281+20912</f>
        <v>26193</v>
      </c>
      <c r="F25" s="45">
        <f t="shared" si="2"/>
        <v>23811.81818181818</v>
      </c>
      <c r="G25" s="45">
        <f t="shared" si="3"/>
        <v>2381.181818181818</v>
      </c>
      <c r="H25" s="16">
        <v>410</v>
      </c>
      <c r="I25" s="45">
        <f t="shared" si="4"/>
        <v>341.66666666666669</v>
      </c>
      <c r="J25" s="45">
        <f t="shared" si="5"/>
        <v>68.333333333333343</v>
      </c>
      <c r="K25" s="16">
        <f>2952+5040</f>
        <v>7992</v>
      </c>
      <c r="L25" s="45">
        <f t="shared" si="6"/>
        <v>6660</v>
      </c>
      <c r="M25" s="45">
        <f t="shared" si="7"/>
        <v>1332</v>
      </c>
      <c r="N25" s="16">
        <f>23260</f>
        <v>23260</v>
      </c>
      <c r="O25" s="16">
        <f>77472+186718-17590</f>
        <v>246600</v>
      </c>
      <c r="P25" s="16">
        <v>17590</v>
      </c>
      <c r="Q25" s="45">
        <v>0</v>
      </c>
      <c r="R25" s="45">
        <v>10105</v>
      </c>
      <c r="S25" s="44"/>
    </row>
    <row r="26" spans="1:19" ht="15" customHeight="1" x14ac:dyDescent="0.3">
      <c r="A26" s="42">
        <v>45958</v>
      </c>
      <c r="B26" s="16">
        <f>60295+87130</f>
        <v>147425</v>
      </c>
      <c r="C26" s="45">
        <f t="shared" ref="C26:C29" si="8">B26/1.1</f>
        <v>134022.72727272726</v>
      </c>
      <c r="D26" s="45">
        <f t="shared" ref="D26:D29" si="9">C26*10/100</f>
        <v>13402.272727272728</v>
      </c>
      <c r="E26" s="16">
        <f>3765+6385</f>
        <v>10150</v>
      </c>
      <c r="F26" s="45">
        <f t="shared" ref="F26:F29" si="10">E26/1.1</f>
        <v>9227.2727272727261</v>
      </c>
      <c r="G26" s="45">
        <f t="shared" ref="G26:G29" si="11">F26*10/100</f>
        <v>922.72727272727263</v>
      </c>
      <c r="H26" s="16">
        <f>1215</f>
        <v>1215</v>
      </c>
      <c r="I26" s="45">
        <f t="shared" ref="I26:I29" si="12">H26/1.2</f>
        <v>1012.5</v>
      </c>
      <c r="J26" s="45">
        <f t="shared" ref="J26:J29" si="13">I26*20/100</f>
        <v>202.5</v>
      </c>
      <c r="K26" s="16">
        <f>3840+2520</f>
        <v>6360</v>
      </c>
      <c r="L26" s="45">
        <f t="shared" ref="L26:L29" si="14">K26/1.2</f>
        <v>5300</v>
      </c>
      <c r="M26" s="45">
        <f t="shared" ref="M26:M29" si="15">L26*20/100</f>
        <v>1060</v>
      </c>
      <c r="N26" s="16">
        <f>3860+6045</f>
        <v>9905</v>
      </c>
      <c r="O26" s="16">
        <f>64040-2085+91205-5155</f>
        <v>148005</v>
      </c>
      <c r="P26" s="16">
        <f>2085+5155</f>
        <v>7240</v>
      </c>
      <c r="Q26" s="45">
        <v>0</v>
      </c>
      <c r="R26" s="45">
        <v>1925</v>
      </c>
      <c r="S26" s="44"/>
    </row>
    <row r="27" spans="1:19" x14ac:dyDescent="0.3">
      <c r="A27" s="42">
        <v>45959</v>
      </c>
      <c r="B27" s="16">
        <f>134980+71675</f>
        <v>206655</v>
      </c>
      <c r="C27" s="45">
        <f t="shared" si="8"/>
        <v>187868.18181818179</v>
      </c>
      <c r="D27" s="45">
        <f t="shared" si="9"/>
        <v>18786.81818181818</v>
      </c>
      <c r="E27" s="16">
        <f>17135+4600</f>
        <v>21735</v>
      </c>
      <c r="F27" s="45">
        <f t="shared" si="10"/>
        <v>19759.090909090908</v>
      </c>
      <c r="G27" s="45">
        <f t="shared" si="11"/>
        <v>1975.909090909091</v>
      </c>
      <c r="H27" s="16">
        <f>700+200</f>
        <v>900</v>
      </c>
      <c r="I27" s="45">
        <f t="shared" si="12"/>
        <v>750</v>
      </c>
      <c r="J27" s="45">
        <f t="shared" si="13"/>
        <v>150</v>
      </c>
      <c r="K27" s="16">
        <f>4320+2760</f>
        <v>7080</v>
      </c>
      <c r="L27" s="45">
        <f t="shared" si="14"/>
        <v>5900</v>
      </c>
      <c r="M27" s="45">
        <f t="shared" si="15"/>
        <v>1180</v>
      </c>
      <c r="N27" s="16">
        <f>8615+3360</f>
        <v>11975</v>
      </c>
      <c r="O27" s="16">
        <f>148520-2140+75875-5003</f>
        <v>217252</v>
      </c>
      <c r="P27" s="16">
        <f>2140+5003</f>
        <v>7143</v>
      </c>
      <c r="Q27" s="45">
        <v>0</v>
      </c>
      <c r="R27" s="45">
        <v>18055</v>
      </c>
      <c r="S27" s="44"/>
    </row>
    <row r="28" spans="1:19" x14ac:dyDescent="0.3">
      <c r="A28" s="42">
        <v>45960</v>
      </c>
      <c r="B28" s="16">
        <f>37100+18865</f>
        <v>55965</v>
      </c>
      <c r="C28" s="45">
        <f t="shared" si="8"/>
        <v>50877.272727272721</v>
      </c>
      <c r="D28" s="45">
        <f t="shared" si="9"/>
        <v>5087.7272727272721</v>
      </c>
      <c r="E28" s="16">
        <f>5510+1595</f>
        <v>7105</v>
      </c>
      <c r="F28" s="45">
        <f t="shared" si="10"/>
        <v>6459.090909090909</v>
      </c>
      <c r="G28" s="45">
        <f t="shared" si="11"/>
        <v>645.90909090909088</v>
      </c>
      <c r="H28" s="45">
        <f>0</f>
        <v>0</v>
      </c>
      <c r="I28" s="45">
        <f t="shared" si="12"/>
        <v>0</v>
      </c>
      <c r="J28" s="45">
        <f t="shared" si="13"/>
        <v>0</v>
      </c>
      <c r="K28" s="16">
        <f>2280+1920</f>
        <v>4200</v>
      </c>
      <c r="L28" s="45">
        <f t="shared" si="14"/>
        <v>3500</v>
      </c>
      <c r="M28" s="45">
        <f t="shared" si="15"/>
        <v>700</v>
      </c>
      <c r="N28" s="45">
        <f>0</f>
        <v>0</v>
      </c>
      <c r="O28" s="16">
        <f>44890+22380</f>
        <v>67270</v>
      </c>
      <c r="P28" s="45">
        <v>0</v>
      </c>
      <c r="Q28" s="45">
        <v>11635</v>
      </c>
      <c r="R28" s="45">
        <v>0</v>
      </c>
      <c r="S28" s="44"/>
    </row>
    <row r="29" spans="1:19" x14ac:dyDescent="0.3">
      <c r="A29" s="42">
        <v>45961</v>
      </c>
      <c r="B29" s="16">
        <f>45735+24325</f>
        <v>70060</v>
      </c>
      <c r="C29" s="45">
        <f t="shared" si="8"/>
        <v>63690.909090909088</v>
      </c>
      <c r="D29" s="45">
        <f t="shared" si="9"/>
        <v>6369.0909090909081</v>
      </c>
      <c r="E29" s="16">
        <f>6195+3085</f>
        <v>9280</v>
      </c>
      <c r="F29" s="45">
        <f t="shared" si="10"/>
        <v>8436.363636363636</v>
      </c>
      <c r="G29" s="45">
        <f t="shared" si="11"/>
        <v>843.63636363636351</v>
      </c>
      <c r="H29" s="45">
        <v>0</v>
      </c>
      <c r="I29" s="45">
        <f t="shared" si="12"/>
        <v>0</v>
      </c>
      <c r="J29" s="45">
        <f t="shared" si="13"/>
        <v>0</v>
      </c>
      <c r="K29" s="16">
        <f>2040+2280</f>
        <v>4320</v>
      </c>
      <c r="L29" s="45">
        <f t="shared" si="14"/>
        <v>3600</v>
      </c>
      <c r="M29" s="45">
        <f t="shared" si="15"/>
        <v>720</v>
      </c>
      <c r="N29" s="16">
        <f>3568</f>
        <v>3568</v>
      </c>
      <c r="O29" s="16">
        <f>50402+29690</f>
        <v>80092</v>
      </c>
      <c r="P29" s="45">
        <v>0</v>
      </c>
      <c r="Q29" s="45">
        <v>0</v>
      </c>
      <c r="R29" s="45">
        <v>0</v>
      </c>
      <c r="S29" s="44"/>
    </row>
    <row r="30" spans="1:19" ht="15.6" x14ac:dyDescent="0.3">
      <c r="B30" s="48">
        <f>SUM(B3:B29)</f>
        <v>3305241.5</v>
      </c>
      <c r="C30" s="48"/>
      <c r="D30" s="48"/>
      <c r="E30" s="48">
        <f>SUM(E3:E29)</f>
        <v>300648</v>
      </c>
      <c r="F30" s="48"/>
      <c r="G30" s="48"/>
      <c r="H30" s="48">
        <f>SUM(H3:H29)</f>
        <v>16460</v>
      </c>
      <c r="I30" s="48"/>
      <c r="J30" s="48"/>
      <c r="K30" s="48">
        <f>SUM(K3:K29)</f>
        <v>139900</v>
      </c>
      <c r="L30" s="48"/>
      <c r="M30" s="48"/>
      <c r="N30" s="48">
        <f>SUM(N3:N29)</f>
        <v>256853.5</v>
      </c>
      <c r="O30" s="48">
        <f>SUM(O3:O29)</f>
        <v>3341987.5</v>
      </c>
      <c r="P30" s="48">
        <f>SUM(P3:P29)</f>
        <v>163408.5</v>
      </c>
      <c r="Q30" s="48">
        <f>SUM(Q3:Q29)</f>
        <v>11635</v>
      </c>
      <c r="R30" s="48">
        <f>SUM(R3:R29)</f>
        <v>238410</v>
      </c>
      <c r="S30" s="49"/>
    </row>
    <row r="31" spans="1:19" ht="15.6" x14ac:dyDescent="0.3"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9"/>
    </row>
    <row r="32" spans="1:19" ht="15.6" x14ac:dyDescent="0.3">
      <c r="B32" s="50"/>
      <c r="C32" s="50"/>
      <c r="E32" s="50" t="s">
        <v>5</v>
      </c>
      <c r="F32" s="50" t="s">
        <v>78</v>
      </c>
      <c r="G32" s="50" t="s">
        <v>84</v>
      </c>
      <c r="H32" s="50" t="s">
        <v>85</v>
      </c>
      <c r="I32" s="50"/>
      <c r="J32" s="48"/>
      <c r="K32" s="48"/>
      <c r="L32" s="48"/>
      <c r="M32" s="48"/>
      <c r="N32" s="48"/>
      <c r="O32" s="48"/>
      <c r="P32" s="48"/>
      <c r="Q32" s="48"/>
      <c r="R32" s="48"/>
      <c r="S32" s="49"/>
    </row>
    <row r="33" spans="1:14" x14ac:dyDescent="0.3">
      <c r="A33" s="59">
        <v>0.1</v>
      </c>
      <c r="B33" s="50">
        <v>1442901</v>
      </c>
      <c r="C33" s="50">
        <v>2162988.5</v>
      </c>
      <c r="D33" s="48">
        <f>SUM(B33:C33)</f>
        <v>3605889.5</v>
      </c>
      <c r="E33" s="50">
        <v>92650.5</v>
      </c>
      <c r="F33" s="50">
        <v>1406972.5</v>
      </c>
      <c r="G33" s="50">
        <v>11635</v>
      </c>
      <c r="H33" s="50">
        <v>84260</v>
      </c>
    </row>
    <row r="34" spans="1:14" x14ac:dyDescent="0.3">
      <c r="A34" s="59">
        <v>0.2</v>
      </c>
      <c r="B34" s="50">
        <v>56722</v>
      </c>
      <c r="C34" s="50">
        <v>99638</v>
      </c>
      <c r="D34" s="48">
        <f>SUM(B34:C34)</f>
        <v>156360</v>
      </c>
      <c r="E34" s="50">
        <v>164203</v>
      </c>
      <c r="F34" s="50">
        <v>2098423.5</v>
      </c>
      <c r="G34" s="50">
        <v>0</v>
      </c>
      <c r="H34" s="50">
        <v>119430</v>
      </c>
    </row>
    <row r="35" spans="1:14" x14ac:dyDescent="0.3">
      <c r="E35" s="48">
        <f>SUM(E33:E34)</f>
        <v>256853.5</v>
      </c>
      <c r="F35" s="48">
        <f>SUM(F33:F34)</f>
        <v>3505396</v>
      </c>
      <c r="G35" s="48">
        <f>SUM(G33:G34)</f>
        <v>11635</v>
      </c>
      <c r="H35" s="48">
        <f>SUM(H33:H34)</f>
        <v>203690</v>
      </c>
      <c r="I35" s="50">
        <f>R30-H35</f>
        <v>34720</v>
      </c>
    </row>
    <row r="36" spans="1:14" x14ac:dyDescent="0.3">
      <c r="J36" s="20"/>
      <c r="K36" s="20"/>
    </row>
    <row r="37" spans="1:14" x14ac:dyDescent="0.3">
      <c r="F37" s="41" t="s">
        <v>88</v>
      </c>
      <c r="G37" s="41" t="s">
        <v>89</v>
      </c>
      <c r="H37" s="41" t="s">
        <v>71</v>
      </c>
      <c r="I37" s="41" t="s">
        <v>74</v>
      </c>
      <c r="J37"/>
      <c r="K37" s="18"/>
    </row>
    <row r="38" spans="1:14" x14ac:dyDescent="0.3">
      <c r="A38" s="52">
        <v>0.1</v>
      </c>
      <c r="B38" s="18">
        <v>1442901</v>
      </c>
      <c r="C38" s="18">
        <v>2162988.5</v>
      </c>
      <c r="D38" s="18">
        <f>SUM(B38:C38)</f>
        <v>3605889.5</v>
      </c>
      <c r="E38"/>
      <c r="F38" s="18">
        <f>B30+E30</f>
        <v>3605889.5</v>
      </c>
      <c r="G38" s="18">
        <f>D38-F38</f>
        <v>0</v>
      </c>
      <c r="H38" s="18">
        <v>3566349.51</v>
      </c>
      <c r="I38" s="18">
        <f>H38*10/100</f>
        <v>356634.95099999994</v>
      </c>
      <c r="J38"/>
      <c r="K38"/>
    </row>
    <row r="39" spans="1:14" x14ac:dyDescent="0.3">
      <c r="A39" s="52">
        <v>0.2</v>
      </c>
      <c r="B39" s="18">
        <v>56722</v>
      </c>
      <c r="C39" s="18">
        <v>99638</v>
      </c>
      <c r="D39" s="18">
        <f t="shared" ref="D39:D45" si="16">SUM(B39:C39)</f>
        <v>156360</v>
      </c>
      <c r="E39" s="18"/>
      <c r="F39" s="18">
        <f>H30+K30</f>
        <v>156360</v>
      </c>
      <c r="G39" s="18">
        <f t="shared" ref="G39:G45" si="17">D39-F39</f>
        <v>0</v>
      </c>
      <c r="H39" s="18">
        <v>145716.66</v>
      </c>
      <c r="I39" s="18">
        <f>H39*20/100</f>
        <v>29143.332000000002</v>
      </c>
      <c r="J39"/>
      <c r="K39" s="18"/>
    </row>
    <row r="40" spans="1:14" x14ac:dyDescent="0.3">
      <c r="A40" s="53" t="s">
        <v>73</v>
      </c>
      <c r="B40" s="20">
        <f>SUM(B38:B39)</f>
        <v>1499623</v>
      </c>
      <c r="C40" s="20">
        <f>SUM(C38:C39)</f>
        <v>2262626.5</v>
      </c>
      <c r="D40" s="20">
        <f t="shared" si="16"/>
        <v>3762249.5</v>
      </c>
      <c r="E40" s="18"/>
      <c r="F40" s="20">
        <f>SUM(F38:F39)</f>
        <v>3762249.5</v>
      </c>
      <c r="G40" s="18">
        <f t="shared" si="17"/>
        <v>0</v>
      </c>
      <c r="H40" s="18">
        <f>SUM(H38:H39)</f>
        <v>3712066.17</v>
      </c>
      <c r="I40" s="18">
        <f>SUM(I38:I39)</f>
        <v>385778.28299999994</v>
      </c>
      <c r="J40" s="18">
        <f>H40+I40</f>
        <v>4097844.4529999997</v>
      </c>
      <c r="K40" s="18" t="s">
        <v>75</v>
      </c>
    </row>
    <row r="41" spans="1:14" x14ac:dyDescent="0.3">
      <c r="A41" s="4" t="s">
        <v>76</v>
      </c>
      <c r="B41" s="18">
        <v>92650.5</v>
      </c>
      <c r="C41" s="18">
        <f>175838</f>
        <v>175838</v>
      </c>
      <c r="D41" s="18">
        <f t="shared" si="16"/>
        <v>268488.5</v>
      </c>
      <c r="E41"/>
      <c r="F41" s="18">
        <f>N30+Q30</f>
        <v>268488.5</v>
      </c>
      <c r="G41" s="18">
        <f t="shared" si="17"/>
        <v>0</v>
      </c>
      <c r="H41" s="18"/>
      <c r="I41"/>
      <c r="J41" s="18">
        <f>F40</f>
        <v>3762249.5</v>
      </c>
      <c r="K41" t="s">
        <v>77</v>
      </c>
    </row>
    <row r="42" spans="1:14" x14ac:dyDescent="0.3">
      <c r="A42" s="4" t="s">
        <v>78</v>
      </c>
      <c r="B42" s="18">
        <v>1515557.5</v>
      </c>
      <c r="C42" s="18">
        <v>2228248.5</v>
      </c>
      <c r="D42" s="18">
        <f t="shared" si="16"/>
        <v>3743806</v>
      </c>
      <c r="E42"/>
      <c r="F42" s="18">
        <f>O30+P30+R30</f>
        <v>3743806</v>
      </c>
      <c r="G42" s="18">
        <f t="shared" si="17"/>
        <v>0</v>
      </c>
      <c r="H42" s="18"/>
      <c r="I42"/>
      <c r="J42" s="18">
        <f>Q30+R30</f>
        <v>250045</v>
      </c>
      <c r="K42" t="s">
        <v>79</v>
      </c>
    </row>
    <row r="43" spans="1:14" x14ac:dyDescent="0.3">
      <c r="A43" s="53" t="s">
        <v>73</v>
      </c>
      <c r="B43" s="20">
        <f>SUM(B41:B42)</f>
        <v>1608208</v>
      </c>
      <c r="C43" s="20">
        <f>SUM(C41:C42)</f>
        <v>2404086.5</v>
      </c>
      <c r="D43" s="20">
        <f t="shared" si="16"/>
        <v>4012294.5</v>
      </c>
      <c r="E43" s="20"/>
      <c r="F43" s="20">
        <f>SUM(F41:F42)</f>
        <v>4012294.5</v>
      </c>
      <c r="G43" s="18">
        <f t="shared" si="17"/>
        <v>0</v>
      </c>
      <c r="H43" s="18"/>
      <c r="I43"/>
      <c r="J43" s="18">
        <f>J40-J41-J42</f>
        <v>85549.952999999747</v>
      </c>
      <c r="K43"/>
    </row>
    <row r="44" spans="1:14" x14ac:dyDescent="0.3">
      <c r="A44" s="54" t="s">
        <v>80</v>
      </c>
      <c r="B44" s="55">
        <f>B43-B40</f>
        <v>108585</v>
      </c>
      <c r="C44" s="55">
        <f t="shared" ref="C44:D44" si="18">C43-C40</f>
        <v>141460</v>
      </c>
      <c r="D44" s="55">
        <f t="shared" si="18"/>
        <v>250045</v>
      </c>
      <c r="E44" s="23"/>
      <c r="F44"/>
      <c r="G44" s="18"/>
      <c r="H44" s="18"/>
      <c r="I44"/>
      <c r="J44" s="18">
        <v>85545</v>
      </c>
      <c r="K44" t="s">
        <v>81</v>
      </c>
    </row>
    <row r="45" spans="1:14" x14ac:dyDescent="0.3">
      <c r="A45" s="56" t="s">
        <v>82</v>
      </c>
      <c r="B45" s="57">
        <v>108585</v>
      </c>
      <c r="C45" s="57">
        <v>141460</v>
      </c>
      <c r="D45" s="57">
        <f t="shared" si="16"/>
        <v>250045</v>
      </c>
      <c r="E45" s="23"/>
      <c r="F45" s="20">
        <f>Q30+R30</f>
        <v>250045</v>
      </c>
      <c r="G45" s="18">
        <f t="shared" si="17"/>
        <v>0</v>
      </c>
      <c r="H45" s="18"/>
      <c r="I45"/>
      <c r="J45" s="20">
        <f>J43-J44</f>
        <v>4.9529999997466803</v>
      </c>
      <c r="K45" s="58"/>
      <c r="N45" s="50"/>
    </row>
    <row r="46" spans="1:14" x14ac:dyDescent="0.3">
      <c r="A46" s="4"/>
      <c r="B46"/>
      <c r="C46"/>
      <c r="D46"/>
      <c r="E46"/>
      <c r="F46" s="18"/>
      <c r="G46"/>
      <c r="H46"/>
      <c r="I46"/>
      <c r="J46"/>
      <c r="K46"/>
    </row>
    <row r="47" spans="1:14" x14ac:dyDescent="0.3">
      <c r="A47" s="4"/>
      <c r="B47"/>
      <c r="C47"/>
      <c r="D47"/>
      <c r="E47"/>
      <c r="F47"/>
      <c r="G47"/>
      <c r="H47"/>
      <c r="I47"/>
      <c r="J47"/>
      <c r="K47"/>
    </row>
    <row r="48" spans="1:14" x14ac:dyDescent="0.3">
      <c r="A48" s="4"/>
      <c r="B48"/>
      <c r="C48"/>
      <c r="D48"/>
      <c r="E48"/>
      <c r="F48"/>
      <c r="G48" s="18"/>
      <c r="H48"/>
      <c r="I48"/>
      <c r="J48"/>
      <c r="K48"/>
    </row>
    <row r="50" spans="1:10" x14ac:dyDescent="0.3">
      <c r="A50" s="41"/>
      <c r="J50" s="50"/>
    </row>
    <row r="51" spans="1:10" x14ac:dyDescent="0.3">
      <c r="A51" s="41"/>
    </row>
    <row r="52" spans="1:10" x14ac:dyDescent="0.3">
      <c r="A52" s="41"/>
    </row>
    <row r="53" spans="1:10" x14ac:dyDescent="0.3">
      <c r="A53" s="41"/>
    </row>
    <row r="54" spans="1:10" x14ac:dyDescent="0.3">
      <c r="A54" s="41"/>
    </row>
  </sheetData>
  <mergeCells count="1">
    <mergeCell ref="Q1:R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topLeftCell="A34" workbookViewId="0">
      <selection activeCell="H52" sqref="H52"/>
    </sheetView>
  </sheetViews>
  <sheetFormatPr defaultRowHeight="14.4" x14ac:dyDescent="0.3"/>
  <cols>
    <col min="1" max="1" width="12.109375" style="47" bestFit="1" customWidth="1"/>
    <col min="2" max="4" width="11.77734375" style="41" bestFit="1" customWidth="1"/>
    <col min="5" max="5" width="11.5546875" style="41" bestFit="1" customWidth="1"/>
    <col min="6" max="6" width="11.6640625" style="41" bestFit="1" customWidth="1"/>
    <col min="7" max="8" width="11.5546875" style="41" bestFit="1" customWidth="1"/>
    <col min="9" max="9" width="11.77734375" style="41" customWidth="1"/>
    <col min="10" max="10" width="11.6640625" style="41" bestFit="1" customWidth="1"/>
    <col min="11" max="11" width="12.21875" style="41" customWidth="1"/>
    <col min="12" max="12" width="11.44140625" style="41" customWidth="1"/>
    <col min="13" max="13" width="11.5546875" style="41" customWidth="1"/>
    <col min="14" max="14" width="11.33203125" style="41" customWidth="1"/>
    <col min="15" max="15" width="11.6640625" style="41" bestFit="1" customWidth="1"/>
    <col min="16" max="16" width="10.21875" style="41" bestFit="1" customWidth="1"/>
    <col min="17" max="17" width="13.5546875" style="41" customWidth="1"/>
    <col min="18" max="18" width="11.44140625" style="41" bestFit="1" customWidth="1"/>
    <col min="19" max="19" width="21.44140625" style="47" customWidth="1"/>
    <col min="20" max="16384" width="8.88671875" style="41"/>
  </cols>
  <sheetData>
    <row r="1" spans="1:19" x14ac:dyDescent="0.3">
      <c r="A1" s="62" t="s">
        <v>0</v>
      </c>
      <c r="B1" s="40" t="s">
        <v>1</v>
      </c>
      <c r="C1" s="40"/>
      <c r="D1" s="40"/>
      <c r="E1" s="40" t="s">
        <v>2</v>
      </c>
      <c r="F1" s="40"/>
      <c r="G1" s="40"/>
      <c r="H1" s="40" t="s">
        <v>3</v>
      </c>
      <c r="I1" s="40"/>
      <c r="J1" s="40"/>
      <c r="K1" s="40" t="s">
        <v>4</v>
      </c>
      <c r="L1" s="40"/>
      <c r="M1" s="40"/>
      <c r="N1" s="40" t="s">
        <v>5</v>
      </c>
      <c r="O1" s="40" t="s">
        <v>6</v>
      </c>
      <c r="P1" s="40" t="s">
        <v>7</v>
      </c>
      <c r="Q1" s="68" t="s">
        <v>8</v>
      </c>
      <c r="R1" s="68"/>
      <c r="S1" s="62" t="s">
        <v>9</v>
      </c>
    </row>
    <row r="2" spans="1:19" x14ac:dyDescent="0.3">
      <c r="A2" s="42"/>
      <c r="B2" s="43">
        <v>0.1</v>
      </c>
      <c r="C2" s="43"/>
      <c r="D2" s="43"/>
      <c r="E2" s="43">
        <v>0.1</v>
      </c>
      <c r="F2" s="43"/>
      <c r="G2" s="43"/>
      <c r="H2" s="43">
        <v>0.2</v>
      </c>
      <c r="I2" s="43"/>
      <c r="J2" s="43"/>
      <c r="K2" s="43">
        <v>0.2</v>
      </c>
      <c r="L2" s="43"/>
      <c r="M2" s="43"/>
      <c r="N2" s="62"/>
      <c r="O2" s="62"/>
      <c r="P2" s="62"/>
      <c r="Q2" s="62" t="s">
        <v>5</v>
      </c>
      <c r="R2" s="62" t="s">
        <v>11</v>
      </c>
      <c r="S2" s="44"/>
    </row>
    <row r="3" spans="1:19" x14ac:dyDescent="0.3">
      <c r="A3" s="42">
        <v>45962</v>
      </c>
      <c r="B3" s="16">
        <f>94735+69066</f>
        <v>163801</v>
      </c>
      <c r="C3" s="45">
        <f>B3/1.1</f>
        <v>148910</v>
      </c>
      <c r="D3" s="45">
        <f>C3*10/100</f>
        <v>14891</v>
      </c>
      <c r="E3" s="16">
        <f>13275+5280</f>
        <v>18555</v>
      </c>
      <c r="F3" s="45">
        <f>E3/1.1</f>
        <v>16868.181818181816</v>
      </c>
      <c r="G3" s="45">
        <f>F3*10/100</f>
        <v>1686.8181818181818</v>
      </c>
      <c r="H3" s="16">
        <f>300+900</f>
        <v>1200</v>
      </c>
      <c r="I3" s="45">
        <f>H3/1.2</f>
        <v>1000</v>
      </c>
      <c r="J3" s="45">
        <f>I3*20/100</f>
        <v>200</v>
      </c>
      <c r="K3" s="16">
        <f>2880+3840</f>
        <v>6720</v>
      </c>
      <c r="L3" s="45">
        <f>K3/1.2</f>
        <v>5600</v>
      </c>
      <c r="M3" s="45">
        <f>L3*20/100</f>
        <v>1120</v>
      </c>
      <c r="N3" s="16">
        <f>8470+940</f>
        <v>9410</v>
      </c>
      <c r="O3" s="16">
        <f>102720-9165+78146-1790</f>
        <v>169911</v>
      </c>
      <c r="P3" s="16">
        <f>9165+1790</f>
        <v>10955</v>
      </c>
      <c r="Q3" s="45">
        <v>0</v>
      </c>
      <c r="R3" s="45">
        <v>9910</v>
      </c>
      <c r="S3" s="44"/>
    </row>
    <row r="4" spans="1:19" x14ac:dyDescent="0.3">
      <c r="A4" s="42">
        <v>45963</v>
      </c>
      <c r="B4" s="16">
        <f>116770+78650</f>
        <v>195420</v>
      </c>
      <c r="C4" s="45">
        <f t="shared" ref="C4:C25" si="0">B4/1.1</f>
        <v>177654.54545454544</v>
      </c>
      <c r="D4" s="45">
        <f t="shared" ref="D4:D26" si="1">C4*10/100</f>
        <v>17765.454545454544</v>
      </c>
      <c r="E4" s="16">
        <f>12685+8090</f>
        <v>20775</v>
      </c>
      <c r="F4" s="45">
        <f t="shared" ref="F4:F26" si="2">E4/1.1</f>
        <v>18886.363636363636</v>
      </c>
      <c r="G4" s="45">
        <f t="shared" ref="G4:G26" si="3">F4*10/100</f>
        <v>1888.6363636363635</v>
      </c>
      <c r="H4" s="16">
        <v>300</v>
      </c>
      <c r="I4" s="45">
        <f t="shared" ref="I4:I26" si="4">H4/1.2</f>
        <v>250</v>
      </c>
      <c r="J4" s="45">
        <f t="shared" ref="J4:J26" si="5">I4*20/100</f>
        <v>50</v>
      </c>
      <c r="K4" s="16">
        <f>1440+2880</f>
        <v>4320</v>
      </c>
      <c r="L4" s="45">
        <f t="shared" ref="L4:L26" si="6">K4/1.2</f>
        <v>3600</v>
      </c>
      <c r="M4" s="45">
        <f t="shared" ref="M4:M26" si="7">L4*20/100</f>
        <v>720</v>
      </c>
      <c r="N4" s="16">
        <f>10781+1350</f>
        <v>12131</v>
      </c>
      <c r="O4" s="16">
        <f>120114-4050+88570-2300</f>
        <v>202334</v>
      </c>
      <c r="P4" s="16">
        <f>4050+2300</f>
        <v>6350</v>
      </c>
      <c r="Q4" s="45">
        <v>0</v>
      </c>
      <c r="R4" s="45">
        <v>0</v>
      </c>
      <c r="S4" s="44"/>
    </row>
    <row r="5" spans="1:19" x14ac:dyDescent="0.3">
      <c r="A5" s="42">
        <v>45965</v>
      </c>
      <c r="B5" s="16">
        <f>51620+16675</f>
        <v>68295</v>
      </c>
      <c r="C5" s="45">
        <f t="shared" si="0"/>
        <v>62086.363636363632</v>
      </c>
      <c r="D5" s="45">
        <f t="shared" si="1"/>
        <v>6208.636363636364</v>
      </c>
      <c r="E5" s="16">
        <f>4635+1645</f>
        <v>6280</v>
      </c>
      <c r="F5" s="45">
        <f t="shared" si="2"/>
        <v>5709.090909090909</v>
      </c>
      <c r="G5" s="45">
        <f t="shared" si="3"/>
        <v>570.90909090909088</v>
      </c>
      <c r="H5" s="45">
        <v>0</v>
      </c>
      <c r="I5" s="45">
        <f t="shared" si="4"/>
        <v>0</v>
      </c>
      <c r="J5" s="45">
        <f t="shared" si="5"/>
        <v>0</v>
      </c>
      <c r="K5" s="16">
        <f>1320+1560</f>
        <v>2880</v>
      </c>
      <c r="L5" s="45">
        <f t="shared" si="6"/>
        <v>2400</v>
      </c>
      <c r="M5" s="45">
        <f t="shared" si="7"/>
        <v>480</v>
      </c>
      <c r="N5" s="16">
        <f>3090</f>
        <v>3090</v>
      </c>
      <c r="O5" s="16">
        <f>54485+19880</f>
        <v>74365</v>
      </c>
      <c r="P5" s="45">
        <v>0</v>
      </c>
      <c r="Q5" s="45">
        <v>0</v>
      </c>
      <c r="R5" s="45">
        <v>0</v>
      </c>
      <c r="S5" s="46"/>
    </row>
    <row r="6" spans="1:19" x14ac:dyDescent="0.3">
      <c r="A6" s="42">
        <v>45966</v>
      </c>
      <c r="B6" s="16">
        <f>32705+44885</f>
        <v>77590</v>
      </c>
      <c r="C6" s="45">
        <f t="shared" si="0"/>
        <v>70536.363636363632</v>
      </c>
      <c r="D6" s="45">
        <f t="shared" si="1"/>
        <v>7053.636363636364</v>
      </c>
      <c r="E6" s="16">
        <f>2965+4765</f>
        <v>7730</v>
      </c>
      <c r="F6" s="45">
        <f t="shared" si="2"/>
        <v>7027.272727272727</v>
      </c>
      <c r="G6" s="45">
        <f t="shared" si="3"/>
        <v>702.72727272727263</v>
      </c>
      <c r="H6" s="16">
        <v>300</v>
      </c>
      <c r="I6" s="45">
        <f t="shared" si="4"/>
        <v>250</v>
      </c>
      <c r="J6" s="45">
        <f t="shared" si="5"/>
        <v>50</v>
      </c>
      <c r="K6" s="16">
        <f>1680+3360</f>
        <v>5040</v>
      </c>
      <c r="L6" s="45">
        <f t="shared" si="6"/>
        <v>4200</v>
      </c>
      <c r="M6" s="45">
        <f t="shared" si="7"/>
        <v>840</v>
      </c>
      <c r="N6" s="16">
        <f>4440+1100</f>
        <v>5540</v>
      </c>
      <c r="O6" s="16">
        <f>33210-2350+51910-4070</f>
        <v>78700</v>
      </c>
      <c r="P6" s="16">
        <f>2350+4070</f>
        <v>6420</v>
      </c>
      <c r="Q6" s="45">
        <v>0</v>
      </c>
      <c r="R6" s="45">
        <v>0</v>
      </c>
      <c r="S6" s="44"/>
    </row>
    <row r="7" spans="1:19" x14ac:dyDescent="0.3">
      <c r="A7" s="42">
        <v>45967</v>
      </c>
      <c r="B7" s="16">
        <f>40090+895</f>
        <v>40985</v>
      </c>
      <c r="C7" s="45">
        <f t="shared" si="0"/>
        <v>37259.090909090904</v>
      </c>
      <c r="D7" s="45">
        <f t="shared" si="1"/>
        <v>3725.9090909090905</v>
      </c>
      <c r="E7" s="16">
        <v>4135</v>
      </c>
      <c r="F7" s="45">
        <f t="shared" si="2"/>
        <v>3759.090909090909</v>
      </c>
      <c r="G7" s="45">
        <f t="shared" si="3"/>
        <v>375.90909090909088</v>
      </c>
      <c r="H7" s="45">
        <v>0</v>
      </c>
      <c r="I7" s="45">
        <f t="shared" si="4"/>
        <v>0</v>
      </c>
      <c r="J7" s="45">
        <f t="shared" si="5"/>
        <v>0</v>
      </c>
      <c r="K7" s="16">
        <v>2160</v>
      </c>
      <c r="L7" s="45">
        <f t="shared" si="6"/>
        <v>1800</v>
      </c>
      <c r="M7" s="45">
        <f t="shared" si="7"/>
        <v>360</v>
      </c>
      <c r="N7" s="16">
        <f>1965+895</f>
        <v>2860</v>
      </c>
      <c r="O7" s="16">
        <f>44420-5963</f>
        <v>38457</v>
      </c>
      <c r="P7" s="16">
        <v>5963</v>
      </c>
      <c r="Q7" s="45">
        <v>0</v>
      </c>
      <c r="R7" s="45">
        <v>0</v>
      </c>
      <c r="S7" s="44"/>
    </row>
    <row r="8" spans="1:19" x14ac:dyDescent="0.3">
      <c r="A8" s="42">
        <v>45968</v>
      </c>
      <c r="B8" s="16">
        <f>59350+30300</f>
        <v>89650</v>
      </c>
      <c r="C8" s="45">
        <f t="shared" si="0"/>
        <v>81500</v>
      </c>
      <c r="D8" s="45">
        <f t="shared" si="1"/>
        <v>8150</v>
      </c>
      <c r="E8" s="16">
        <f>3130+2140</f>
        <v>5270</v>
      </c>
      <c r="F8" s="45">
        <f t="shared" si="2"/>
        <v>4790.9090909090901</v>
      </c>
      <c r="G8" s="45">
        <f t="shared" si="3"/>
        <v>479.09090909090895</v>
      </c>
      <c r="H8" s="16">
        <v>400</v>
      </c>
      <c r="I8" s="45">
        <f t="shared" si="4"/>
        <v>333.33333333333337</v>
      </c>
      <c r="J8" s="45">
        <f t="shared" si="5"/>
        <v>66.666666666666686</v>
      </c>
      <c r="K8" s="16">
        <f>1920+2400</f>
        <v>4320</v>
      </c>
      <c r="L8" s="45">
        <f t="shared" si="6"/>
        <v>3600</v>
      </c>
      <c r="M8" s="45">
        <f t="shared" si="7"/>
        <v>720</v>
      </c>
      <c r="N8" s="16">
        <f>805+2140</f>
        <v>2945</v>
      </c>
      <c r="O8" s="16">
        <f>63595-1790+33100</f>
        <v>94905</v>
      </c>
      <c r="P8" s="16">
        <v>1790</v>
      </c>
      <c r="Q8" s="45">
        <v>0</v>
      </c>
      <c r="R8" s="45">
        <v>0</v>
      </c>
      <c r="S8" s="44"/>
    </row>
    <row r="9" spans="1:19" x14ac:dyDescent="0.3">
      <c r="A9" s="42">
        <v>45969</v>
      </c>
      <c r="B9" s="16">
        <f>133498+76794</f>
        <v>210292</v>
      </c>
      <c r="C9" s="45">
        <f t="shared" si="0"/>
        <v>191174.54545454544</v>
      </c>
      <c r="D9" s="45">
        <f t="shared" si="1"/>
        <v>19117.454545454544</v>
      </c>
      <c r="E9" s="16">
        <f>7980+2325</f>
        <v>10305</v>
      </c>
      <c r="F9" s="45">
        <f t="shared" si="2"/>
        <v>9368.181818181818</v>
      </c>
      <c r="G9" s="45">
        <f t="shared" si="3"/>
        <v>936.81818181818176</v>
      </c>
      <c r="H9" s="16">
        <f>1000+1300</f>
        <v>2300</v>
      </c>
      <c r="I9" s="45">
        <f t="shared" si="4"/>
        <v>1916.6666666666667</v>
      </c>
      <c r="J9" s="45">
        <f t="shared" si="5"/>
        <v>383.33333333333337</v>
      </c>
      <c r="K9" s="16">
        <f>2520+3792</f>
        <v>6312</v>
      </c>
      <c r="L9" s="45">
        <f t="shared" si="6"/>
        <v>5260</v>
      </c>
      <c r="M9" s="45">
        <f t="shared" si="7"/>
        <v>1052</v>
      </c>
      <c r="N9" s="16">
        <v>4185</v>
      </c>
      <c r="O9" s="16">
        <f>140813-10590+84211</f>
        <v>214434</v>
      </c>
      <c r="P9" s="16">
        <v>10590</v>
      </c>
      <c r="Q9" s="45">
        <v>0</v>
      </c>
      <c r="R9" s="45">
        <v>0</v>
      </c>
      <c r="S9" s="44"/>
    </row>
    <row r="10" spans="1:19" x14ac:dyDescent="0.3">
      <c r="A10" s="42">
        <v>45970</v>
      </c>
      <c r="B10" s="16">
        <f>66825+160905</f>
        <v>227730</v>
      </c>
      <c r="C10" s="45">
        <f t="shared" si="0"/>
        <v>207027.27272727271</v>
      </c>
      <c r="D10" s="45">
        <f t="shared" si="1"/>
        <v>20702.727272727272</v>
      </c>
      <c r="E10" s="16">
        <f>5035+11205</f>
        <v>16240</v>
      </c>
      <c r="F10" s="45">
        <f t="shared" si="2"/>
        <v>14763.636363636362</v>
      </c>
      <c r="G10" s="45">
        <f t="shared" si="3"/>
        <v>1476.3636363636363</v>
      </c>
      <c r="H10" s="16">
        <v>200</v>
      </c>
      <c r="I10" s="45">
        <f t="shared" si="4"/>
        <v>166.66666666666669</v>
      </c>
      <c r="J10" s="45">
        <f t="shared" si="5"/>
        <v>33.333333333333343</v>
      </c>
      <c r="K10" s="16">
        <f>2640+3240</f>
        <v>5880</v>
      </c>
      <c r="L10" s="45">
        <f t="shared" si="6"/>
        <v>4900</v>
      </c>
      <c r="M10" s="45">
        <f t="shared" si="7"/>
        <v>980</v>
      </c>
      <c r="N10" s="16">
        <f>2080+9460</f>
        <v>11540</v>
      </c>
      <c r="O10" s="16">
        <f>72420-4435+166090-10448</f>
        <v>223627</v>
      </c>
      <c r="P10" s="16">
        <f>4435+10448</f>
        <v>14883</v>
      </c>
      <c r="Q10" s="45">
        <v>0</v>
      </c>
      <c r="R10" s="45">
        <v>0</v>
      </c>
      <c r="S10" s="44"/>
    </row>
    <row r="11" spans="1:19" x14ac:dyDescent="0.3">
      <c r="A11" s="42">
        <v>45972</v>
      </c>
      <c r="B11" s="16">
        <f>41305+44605.55</f>
        <v>85910.55</v>
      </c>
      <c r="C11" s="45">
        <f t="shared" si="0"/>
        <v>78100.5</v>
      </c>
      <c r="D11" s="45">
        <f t="shared" si="1"/>
        <v>7810.05</v>
      </c>
      <c r="E11" s="16">
        <f>3335+3589.21</f>
        <v>6924.21</v>
      </c>
      <c r="F11" s="45">
        <f t="shared" si="2"/>
        <v>6294.7363636363634</v>
      </c>
      <c r="G11" s="45">
        <f t="shared" si="3"/>
        <v>629.47363636363627</v>
      </c>
      <c r="H11" s="16">
        <v>500</v>
      </c>
      <c r="I11" s="45">
        <f t="shared" si="4"/>
        <v>416.66666666666669</v>
      </c>
      <c r="J11" s="45">
        <f t="shared" si="5"/>
        <v>83.333333333333343</v>
      </c>
      <c r="K11" s="16">
        <f>1440+2597.74</f>
        <v>4037.74</v>
      </c>
      <c r="L11" s="45">
        <f t="shared" si="6"/>
        <v>3364.7833333333333</v>
      </c>
      <c r="M11" s="45">
        <f t="shared" si="7"/>
        <v>672.95666666666671</v>
      </c>
      <c r="N11" s="16">
        <f>10440+1790</f>
        <v>12230</v>
      </c>
      <c r="O11" s="16">
        <f>36140-460+49002.5</f>
        <v>84682.5</v>
      </c>
      <c r="P11" s="16">
        <v>460</v>
      </c>
      <c r="Q11" s="45">
        <v>0</v>
      </c>
      <c r="R11" s="45">
        <v>12780</v>
      </c>
      <c r="S11" s="44"/>
    </row>
    <row r="12" spans="1:19" x14ac:dyDescent="0.3">
      <c r="A12" s="42">
        <v>45973</v>
      </c>
      <c r="B12" s="16">
        <f>29085+38525</f>
        <v>67610</v>
      </c>
      <c r="C12" s="45">
        <f t="shared" si="0"/>
        <v>61463.63636363636</v>
      </c>
      <c r="D12" s="45">
        <f t="shared" si="1"/>
        <v>6146.363636363636</v>
      </c>
      <c r="E12" s="16">
        <f>4005+3280</f>
        <v>7285</v>
      </c>
      <c r="F12" s="45">
        <f t="shared" si="2"/>
        <v>6622.7272727272721</v>
      </c>
      <c r="G12" s="45">
        <f t="shared" si="3"/>
        <v>662.27272727272725</v>
      </c>
      <c r="H12" s="16">
        <f>600</f>
        <v>600</v>
      </c>
      <c r="I12" s="45">
        <f t="shared" si="4"/>
        <v>500</v>
      </c>
      <c r="J12" s="45">
        <f t="shared" si="5"/>
        <v>100</v>
      </c>
      <c r="K12" s="16">
        <f>1800+1800</f>
        <v>3600</v>
      </c>
      <c r="L12" s="45">
        <f t="shared" si="6"/>
        <v>3000</v>
      </c>
      <c r="M12" s="45">
        <f t="shared" si="7"/>
        <v>600</v>
      </c>
      <c r="N12" s="16">
        <f>1865</f>
        <v>1865</v>
      </c>
      <c r="O12" s="16">
        <f>33625-1850+43605</f>
        <v>75380</v>
      </c>
      <c r="P12" s="16">
        <v>1850</v>
      </c>
      <c r="Q12" s="45">
        <v>0</v>
      </c>
      <c r="R12" s="45">
        <v>0</v>
      </c>
      <c r="S12" s="44"/>
    </row>
    <row r="13" spans="1:19" x14ac:dyDescent="0.3">
      <c r="A13" s="42">
        <v>45974</v>
      </c>
      <c r="B13" s="16">
        <f>31170+68225</f>
        <v>99395</v>
      </c>
      <c r="C13" s="45">
        <f t="shared" si="0"/>
        <v>90359.090909090897</v>
      </c>
      <c r="D13" s="45">
        <f t="shared" si="1"/>
        <v>9035.9090909090901</v>
      </c>
      <c r="E13" s="16">
        <f>995+5980</f>
        <v>6975</v>
      </c>
      <c r="F13" s="45">
        <f t="shared" si="2"/>
        <v>6340.9090909090901</v>
      </c>
      <c r="G13" s="45">
        <f t="shared" si="3"/>
        <v>634.09090909090901</v>
      </c>
      <c r="H13" s="45">
        <v>0</v>
      </c>
      <c r="I13" s="45">
        <f t="shared" si="4"/>
        <v>0</v>
      </c>
      <c r="J13" s="45">
        <f t="shared" si="5"/>
        <v>0</v>
      </c>
      <c r="K13" s="16">
        <f>1800+4680</f>
        <v>6480</v>
      </c>
      <c r="L13" s="45">
        <f t="shared" si="6"/>
        <v>5400</v>
      </c>
      <c r="M13" s="45">
        <f t="shared" si="7"/>
        <v>1080</v>
      </c>
      <c r="N13" s="16">
        <f>1990+2410</f>
        <v>4400</v>
      </c>
      <c r="O13" s="16">
        <f>31975-2900+76475-14335</f>
        <v>91215</v>
      </c>
      <c r="P13" s="16">
        <f>2900+14335</f>
        <v>17235</v>
      </c>
      <c r="Q13" s="45">
        <v>0</v>
      </c>
      <c r="R13" s="45">
        <v>6280</v>
      </c>
      <c r="S13" s="44"/>
    </row>
    <row r="14" spans="1:19" x14ac:dyDescent="0.3">
      <c r="A14" s="42">
        <v>45975</v>
      </c>
      <c r="B14" s="16">
        <f>50870+29320</f>
        <v>80190</v>
      </c>
      <c r="C14" s="45">
        <f t="shared" si="0"/>
        <v>72900</v>
      </c>
      <c r="D14" s="45">
        <f t="shared" si="1"/>
        <v>7290</v>
      </c>
      <c r="E14" s="16">
        <f>4705+4145</f>
        <v>8850</v>
      </c>
      <c r="F14" s="45">
        <f t="shared" si="2"/>
        <v>8045.454545454545</v>
      </c>
      <c r="G14" s="45">
        <f t="shared" si="3"/>
        <v>804.5454545454545</v>
      </c>
      <c r="H14" s="16">
        <f>500</f>
        <v>500</v>
      </c>
      <c r="I14" s="45">
        <f t="shared" si="4"/>
        <v>416.66666666666669</v>
      </c>
      <c r="J14" s="45">
        <f t="shared" si="5"/>
        <v>83.333333333333343</v>
      </c>
      <c r="K14" s="16">
        <f>2040+2880</f>
        <v>4920</v>
      </c>
      <c r="L14" s="45">
        <f t="shared" si="6"/>
        <v>4100</v>
      </c>
      <c r="M14" s="45">
        <f t="shared" si="7"/>
        <v>820</v>
      </c>
      <c r="N14" s="16">
        <f>1465+175</f>
        <v>1640</v>
      </c>
      <c r="O14" s="16">
        <f>56150-4745+36670-3195</f>
        <v>84880</v>
      </c>
      <c r="P14" s="16">
        <f>4745+3195</f>
        <v>7940</v>
      </c>
      <c r="Q14" s="45">
        <v>0</v>
      </c>
      <c r="R14" s="45">
        <v>21545</v>
      </c>
      <c r="S14" s="44"/>
    </row>
    <row r="15" spans="1:19" x14ac:dyDescent="0.3">
      <c r="A15" s="42">
        <v>45976</v>
      </c>
      <c r="B15" s="16">
        <f>74180+102898</f>
        <v>177078</v>
      </c>
      <c r="C15" s="45">
        <f t="shared" si="0"/>
        <v>160980</v>
      </c>
      <c r="D15" s="45">
        <f t="shared" si="1"/>
        <v>16098</v>
      </c>
      <c r="E15" s="16">
        <f>7385+8630</f>
        <v>16015</v>
      </c>
      <c r="F15" s="45">
        <f t="shared" si="2"/>
        <v>14559.090909090908</v>
      </c>
      <c r="G15" s="45">
        <f t="shared" si="3"/>
        <v>1455.909090909091</v>
      </c>
      <c r="H15" s="16">
        <v>1900</v>
      </c>
      <c r="I15" s="45">
        <f t="shared" si="4"/>
        <v>1583.3333333333335</v>
      </c>
      <c r="J15" s="45">
        <f t="shared" si="5"/>
        <v>316.66666666666674</v>
      </c>
      <c r="K15" s="16">
        <f>2160+4080</f>
        <v>6240</v>
      </c>
      <c r="L15" s="45">
        <f t="shared" si="6"/>
        <v>5200</v>
      </c>
      <c r="M15" s="45">
        <f t="shared" si="7"/>
        <v>1040</v>
      </c>
      <c r="N15" s="16">
        <f>1850+2410</f>
        <v>4260</v>
      </c>
      <c r="O15" s="16">
        <f>83775-8829.45+113198-2105</f>
        <v>186038.55</v>
      </c>
      <c r="P15" s="16">
        <f>8829.45+2105</f>
        <v>10934.45</v>
      </c>
      <c r="Q15" s="45">
        <v>0</v>
      </c>
      <c r="R15" s="45">
        <f>11535+41111.5</f>
        <v>52646.5</v>
      </c>
      <c r="S15" s="44"/>
    </row>
    <row r="16" spans="1:19" x14ac:dyDescent="0.3">
      <c r="A16" s="42">
        <v>45977</v>
      </c>
      <c r="B16" s="16">
        <f>123415+147987</f>
        <v>271402</v>
      </c>
      <c r="C16" s="45">
        <f t="shared" si="0"/>
        <v>246729.09090909088</v>
      </c>
      <c r="D16" s="45">
        <f t="shared" si="1"/>
        <v>24672.909090909088</v>
      </c>
      <c r="E16" s="16">
        <f>13980+17104</f>
        <v>31084</v>
      </c>
      <c r="F16" s="45">
        <f t="shared" si="2"/>
        <v>28258.181818181816</v>
      </c>
      <c r="G16" s="45">
        <f t="shared" si="3"/>
        <v>2825.818181818182</v>
      </c>
      <c r="H16" s="16">
        <f>600</f>
        <v>600</v>
      </c>
      <c r="I16" s="45">
        <f t="shared" si="4"/>
        <v>500</v>
      </c>
      <c r="J16" s="45">
        <f t="shared" si="5"/>
        <v>100</v>
      </c>
      <c r="K16" s="16">
        <f>3240+4992</f>
        <v>8232</v>
      </c>
      <c r="L16" s="45">
        <f t="shared" si="6"/>
        <v>6860</v>
      </c>
      <c r="M16" s="45">
        <f t="shared" si="7"/>
        <v>1372</v>
      </c>
      <c r="N16" s="16">
        <f>11600+1095</f>
        <v>12695</v>
      </c>
      <c r="O16" s="16">
        <f>129035-6820+169588-6020</f>
        <v>285783</v>
      </c>
      <c r="P16" s="16">
        <f>6820+6020</f>
        <v>12840</v>
      </c>
      <c r="Q16" s="45">
        <v>0</v>
      </c>
      <c r="R16" s="45">
        <v>4640</v>
      </c>
      <c r="S16" s="44"/>
    </row>
    <row r="17" spans="1:19" x14ac:dyDescent="0.3">
      <c r="A17" s="42">
        <v>45979</v>
      </c>
      <c r="B17" s="16">
        <f>48402+21055</f>
        <v>69457</v>
      </c>
      <c r="C17" s="45">
        <f t="shared" si="0"/>
        <v>63142.727272727265</v>
      </c>
      <c r="D17" s="45">
        <f t="shared" si="1"/>
        <v>6314.272727272727</v>
      </c>
      <c r="E17" s="16">
        <f>6156+1970</f>
        <v>8126</v>
      </c>
      <c r="F17" s="45">
        <f t="shared" si="2"/>
        <v>7387.272727272727</v>
      </c>
      <c r="G17" s="45">
        <f t="shared" si="3"/>
        <v>738.72727272727263</v>
      </c>
      <c r="H17" s="16">
        <v>300</v>
      </c>
      <c r="I17" s="45">
        <f t="shared" si="4"/>
        <v>250</v>
      </c>
      <c r="J17" s="45">
        <f t="shared" si="5"/>
        <v>50</v>
      </c>
      <c r="K17" s="16">
        <f>1560+1440</f>
        <v>3000</v>
      </c>
      <c r="L17" s="45">
        <f t="shared" si="6"/>
        <v>2500</v>
      </c>
      <c r="M17" s="45">
        <f t="shared" si="7"/>
        <v>500</v>
      </c>
      <c r="N17" s="16">
        <f>4493+3935</f>
        <v>8428</v>
      </c>
      <c r="O17" s="16">
        <f>51925-1175+20530</f>
        <v>71280</v>
      </c>
      <c r="P17" s="16">
        <v>1175</v>
      </c>
      <c r="Q17" s="45">
        <v>0</v>
      </c>
      <c r="R17" s="45">
        <v>0</v>
      </c>
      <c r="S17" s="44"/>
    </row>
    <row r="18" spans="1:19" x14ac:dyDescent="0.3">
      <c r="A18" s="42">
        <v>45980</v>
      </c>
      <c r="B18" s="16">
        <f>41160+24435</f>
        <v>65595</v>
      </c>
      <c r="C18" s="45">
        <f t="shared" si="0"/>
        <v>59631.818181818177</v>
      </c>
      <c r="D18" s="45">
        <f t="shared" si="1"/>
        <v>5963.181818181818</v>
      </c>
      <c r="E18" s="16">
        <f>2685+2605</f>
        <v>5290</v>
      </c>
      <c r="F18" s="45">
        <f t="shared" si="2"/>
        <v>4809.090909090909</v>
      </c>
      <c r="G18" s="45">
        <f t="shared" si="3"/>
        <v>480.90909090909088</v>
      </c>
      <c r="H18" s="16">
        <f>427</f>
        <v>427</v>
      </c>
      <c r="I18" s="45">
        <f t="shared" si="4"/>
        <v>355.83333333333337</v>
      </c>
      <c r="J18" s="45">
        <f t="shared" si="5"/>
        <v>71.166666666666686</v>
      </c>
      <c r="K18" s="16">
        <f>1800+1560</f>
        <v>3360</v>
      </c>
      <c r="L18" s="45">
        <f t="shared" si="6"/>
        <v>2800</v>
      </c>
      <c r="M18" s="45">
        <f t="shared" si="7"/>
        <v>560</v>
      </c>
      <c r="N18" s="16">
        <f>165</f>
        <v>165</v>
      </c>
      <c r="O18" s="16">
        <f>45645+28862</f>
        <v>74507</v>
      </c>
      <c r="P18" s="45">
        <v>0</v>
      </c>
      <c r="Q18" s="45">
        <v>0</v>
      </c>
      <c r="R18" s="45">
        <v>0</v>
      </c>
      <c r="S18" s="44"/>
    </row>
    <row r="19" spans="1:19" x14ac:dyDescent="0.3">
      <c r="A19" s="42">
        <v>45981</v>
      </c>
      <c r="B19" s="16">
        <f>37125+41075</f>
        <v>78200</v>
      </c>
      <c r="C19" s="45">
        <f t="shared" si="0"/>
        <v>71090.909090909088</v>
      </c>
      <c r="D19" s="45">
        <f t="shared" si="1"/>
        <v>7109.0909090909081</v>
      </c>
      <c r="E19" s="16">
        <f>2570+5525</f>
        <v>8095</v>
      </c>
      <c r="F19" s="45">
        <f t="shared" si="2"/>
        <v>7359.0909090909081</v>
      </c>
      <c r="G19" s="45">
        <f t="shared" si="3"/>
        <v>735.90909090909088</v>
      </c>
      <c r="H19" s="16">
        <v>200</v>
      </c>
      <c r="I19" s="45">
        <f t="shared" si="4"/>
        <v>166.66666666666669</v>
      </c>
      <c r="J19" s="45">
        <f t="shared" si="5"/>
        <v>33.333333333333343</v>
      </c>
      <c r="K19" s="16">
        <f>2760+2280</f>
        <v>5040</v>
      </c>
      <c r="L19" s="45">
        <f t="shared" si="6"/>
        <v>4200</v>
      </c>
      <c r="M19" s="45">
        <f t="shared" si="7"/>
        <v>840</v>
      </c>
      <c r="N19" s="16">
        <f>3000+560</f>
        <v>3560</v>
      </c>
      <c r="O19" s="16">
        <f>39455-3520+48520-895</f>
        <v>83560</v>
      </c>
      <c r="P19" s="16">
        <f>3520+895</f>
        <v>4415</v>
      </c>
      <c r="Q19" s="45">
        <v>0</v>
      </c>
      <c r="R19" s="45">
        <f>11060+7280</f>
        <v>18340</v>
      </c>
      <c r="S19" s="44"/>
    </row>
    <row r="20" spans="1:19" x14ac:dyDescent="0.3">
      <c r="A20" s="42">
        <v>45982</v>
      </c>
      <c r="B20" s="16">
        <f>7810+74660</f>
        <v>82470</v>
      </c>
      <c r="C20" s="45">
        <f t="shared" si="0"/>
        <v>74972.727272727265</v>
      </c>
      <c r="D20" s="45">
        <f t="shared" si="1"/>
        <v>7497.272727272727</v>
      </c>
      <c r="E20" s="16">
        <f>2450+7270</f>
        <v>9720</v>
      </c>
      <c r="F20" s="45">
        <f t="shared" si="2"/>
        <v>8836.363636363636</v>
      </c>
      <c r="G20" s="45">
        <f t="shared" si="3"/>
        <v>883.63636363636351</v>
      </c>
      <c r="H20" s="16">
        <f>800</f>
        <v>800</v>
      </c>
      <c r="I20" s="45">
        <f t="shared" si="4"/>
        <v>666.66666666666674</v>
      </c>
      <c r="J20" s="45">
        <f t="shared" si="5"/>
        <v>133.33333333333337</v>
      </c>
      <c r="K20" s="16">
        <f>840+2880</f>
        <v>3720</v>
      </c>
      <c r="L20" s="45">
        <f t="shared" si="6"/>
        <v>3100</v>
      </c>
      <c r="M20" s="45">
        <f t="shared" si="7"/>
        <v>620</v>
      </c>
      <c r="N20" s="16">
        <f>3745+4990</f>
        <v>8735</v>
      </c>
      <c r="O20" s="16">
        <f>8155+79820-5935</f>
        <v>82040</v>
      </c>
      <c r="P20" s="16">
        <v>5935</v>
      </c>
      <c r="Q20" s="45">
        <v>0</v>
      </c>
      <c r="R20" s="45">
        <v>0</v>
      </c>
      <c r="S20" s="44"/>
    </row>
    <row r="21" spans="1:19" x14ac:dyDescent="0.3">
      <c r="A21" s="42">
        <v>45983</v>
      </c>
      <c r="B21" s="16">
        <f>90555+81025</f>
        <v>171580</v>
      </c>
      <c r="C21" s="45">
        <f t="shared" si="0"/>
        <v>155981.81818181818</v>
      </c>
      <c r="D21" s="45">
        <f t="shared" si="1"/>
        <v>15598.181818181816</v>
      </c>
      <c r="E21" s="16">
        <f>7350+11295</f>
        <v>18645</v>
      </c>
      <c r="F21" s="45">
        <f t="shared" si="2"/>
        <v>16950</v>
      </c>
      <c r="G21" s="45">
        <f t="shared" si="3"/>
        <v>1695</v>
      </c>
      <c r="H21" s="16">
        <f>200</f>
        <v>200</v>
      </c>
      <c r="I21" s="45">
        <f t="shared" si="4"/>
        <v>166.66666666666669</v>
      </c>
      <c r="J21" s="45">
        <f t="shared" si="5"/>
        <v>33.333333333333343</v>
      </c>
      <c r="K21" s="16">
        <f>2880+4680</f>
        <v>7560</v>
      </c>
      <c r="L21" s="45">
        <f t="shared" si="6"/>
        <v>6300</v>
      </c>
      <c r="M21" s="45">
        <f t="shared" si="7"/>
        <v>1260</v>
      </c>
      <c r="N21" s="16">
        <f>6870+3890</f>
        <v>10760</v>
      </c>
      <c r="O21" s="16">
        <f>94115-8010+93110-7635</f>
        <v>171580</v>
      </c>
      <c r="P21" s="16">
        <f>8010+7635</f>
        <v>15645</v>
      </c>
      <c r="Q21" s="45">
        <v>0</v>
      </c>
      <c r="R21" s="45">
        <v>20925</v>
      </c>
      <c r="S21" s="44"/>
    </row>
    <row r="22" spans="1:19" x14ac:dyDescent="0.3">
      <c r="A22" s="42">
        <v>45984</v>
      </c>
      <c r="B22" s="16">
        <f>107989+113117</f>
        <v>221106</v>
      </c>
      <c r="C22" s="45">
        <f t="shared" si="0"/>
        <v>201005.45454545453</v>
      </c>
      <c r="D22" s="45">
        <f t="shared" si="1"/>
        <v>20100.545454545456</v>
      </c>
      <c r="E22" s="16">
        <f>12341+9722</f>
        <v>22063</v>
      </c>
      <c r="F22" s="45">
        <f t="shared" si="2"/>
        <v>20057.272727272724</v>
      </c>
      <c r="G22" s="45">
        <f t="shared" si="3"/>
        <v>2005.7272727272723</v>
      </c>
      <c r="H22" s="45">
        <f>0</f>
        <v>0</v>
      </c>
      <c r="I22" s="45">
        <f t="shared" si="4"/>
        <v>0</v>
      </c>
      <c r="J22" s="45">
        <f t="shared" si="5"/>
        <v>0</v>
      </c>
      <c r="K22" s="16">
        <f>2280+5472</f>
        <v>7752</v>
      </c>
      <c r="L22" s="45">
        <f t="shared" si="6"/>
        <v>6460</v>
      </c>
      <c r="M22" s="45">
        <f t="shared" si="7"/>
        <v>1292</v>
      </c>
      <c r="N22" s="16">
        <f>10990+1390</f>
        <v>12380</v>
      </c>
      <c r="O22" s="16">
        <f>111620-7945+126921-5340</f>
        <v>225256</v>
      </c>
      <c r="P22" s="16">
        <f>7945+5340</f>
        <v>13285</v>
      </c>
      <c r="Q22" s="45">
        <f>1257+1350</f>
        <v>2607</v>
      </c>
      <c r="R22" s="45">
        <f>11318+21630</f>
        <v>32948</v>
      </c>
      <c r="S22" s="44"/>
    </row>
    <row r="23" spans="1:19" ht="15" customHeight="1" x14ac:dyDescent="0.3">
      <c r="A23" s="42">
        <v>45986</v>
      </c>
      <c r="B23" s="16">
        <f>19375+45590</f>
        <v>64965</v>
      </c>
      <c r="C23" s="45">
        <f t="shared" si="0"/>
        <v>59059.090909090904</v>
      </c>
      <c r="D23" s="45">
        <f t="shared" si="1"/>
        <v>5905.909090909091</v>
      </c>
      <c r="E23" s="16">
        <f>1335+3480</f>
        <v>4815</v>
      </c>
      <c r="F23" s="45">
        <f t="shared" si="2"/>
        <v>4377.272727272727</v>
      </c>
      <c r="G23" s="45">
        <f t="shared" si="3"/>
        <v>437.72727272727275</v>
      </c>
      <c r="H23" s="45">
        <f>0</f>
        <v>0</v>
      </c>
      <c r="I23" s="45">
        <f t="shared" si="4"/>
        <v>0</v>
      </c>
      <c r="J23" s="45">
        <f t="shared" si="5"/>
        <v>0</v>
      </c>
      <c r="K23" s="16">
        <f>1680+1080</f>
        <v>2760</v>
      </c>
      <c r="L23" s="45">
        <f t="shared" si="6"/>
        <v>2300</v>
      </c>
      <c r="M23" s="45">
        <f t="shared" si="7"/>
        <v>460</v>
      </c>
      <c r="N23" s="16">
        <f>4025</f>
        <v>4025</v>
      </c>
      <c r="O23" s="16">
        <f>22390-1140+46125-2436</f>
        <v>64939</v>
      </c>
      <c r="P23" s="16">
        <f>1140+2436</f>
        <v>3576</v>
      </c>
      <c r="Q23" s="45">
        <v>0</v>
      </c>
      <c r="R23" s="45">
        <f>14760+48925</f>
        <v>63685</v>
      </c>
      <c r="S23" s="44"/>
    </row>
    <row r="24" spans="1:19" x14ac:dyDescent="0.3">
      <c r="A24" s="42">
        <v>45987</v>
      </c>
      <c r="B24" s="16">
        <f>29620+14475</f>
        <v>44095</v>
      </c>
      <c r="C24" s="45">
        <f t="shared" si="0"/>
        <v>40086.363636363632</v>
      </c>
      <c r="D24" s="45">
        <f t="shared" si="1"/>
        <v>4008.6363636363635</v>
      </c>
      <c r="E24" s="16">
        <f>3070+2057</f>
        <v>5127</v>
      </c>
      <c r="F24" s="45">
        <f t="shared" si="2"/>
        <v>4660.9090909090901</v>
      </c>
      <c r="G24" s="45">
        <f t="shared" si="3"/>
        <v>466.09090909090895</v>
      </c>
      <c r="H24" s="16">
        <v>200</v>
      </c>
      <c r="I24" s="45">
        <f t="shared" si="4"/>
        <v>166.66666666666669</v>
      </c>
      <c r="J24" s="45">
        <f t="shared" si="5"/>
        <v>33.333333333333343</v>
      </c>
      <c r="K24" s="16">
        <f>1440+1320</f>
        <v>2760</v>
      </c>
      <c r="L24" s="45">
        <f t="shared" si="6"/>
        <v>2300</v>
      </c>
      <c r="M24" s="45">
        <f t="shared" si="7"/>
        <v>460</v>
      </c>
      <c r="N24" s="16">
        <f>955</f>
        <v>955</v>
      </c>
      <c r="O24" s="16">
        <f>33375-4030+17852</f>
        <v>47197</v>
      </c>
      <c r="P24" s="16">
        <v>4030</v>
      </c>
      <c r="Q24" s="45">
        <v>0</v>
      </c>
      <c r="R24" s="45">
        <v>6155</v>
      </c>
      <c r="S24" s="44"/>
    </row>
    <row r="25" spans="1:19" x14ac:dyDescent="0.3">
      <c r="A25" s="42">
        <v>45988</v>
      </c>
      <c r="B25" s="16">
        <f>51370+15160</f>
        <v>66530</v>
      </c>
      <c r="C25" s="45">
        <f t="shared" si="0"/>
        <v>60481.818181818177</v>
      </c>
      <c r="D25" s="45">
        <f t="shared" si="1"/>
        <v>6048.181818181818</v>
      </c>
      <c r="E25" s="16">
        <f>6735+735</f>
        <v>7470</v>
      </c>
      <c r="F25" s="45">
        <f t="shared" si="2"/>
        <v>6790.9090909090901</v>
      </c>
      <c r="G25" s="45">
        <f t="shared" si="3"/>
        <v>679.09090909090901</v>
      </c>
      <c r="H25" s="45">
        <v>0</v>
      </c>
      <c r="I25" s="45">
        <f t="shared" si="4"/>
        <v>0</v>
      </c>
      <c r="J25" s="45">
        <f t="shared" si="5"/>
        <v>0</v>
      </c>
      <c r="K25" s="16">
        <f>2040+1560</f>
        <v>3600</v>
      </c>
      <c r="L25" s="45">
        <f t="shared" si="6"/>
        <v>3000</v>
      </c>
      <c r="M25" s="45">
        <f t="shared" si="7"/>
        <v>600</v>
      </c>
      <c r="N25" s="16">
        <f>7575</f>
        <v>7575</v>
      </c>
      <c r="O25" s="16">
        <f>52570+17455</f>
        <v>70025</v>
      </c>
      <c r="P25" s="45">
        <v>0</v>
      </c>
      <c r="Q25" s="45">
        <v>0</v>
      </c>
      <c r="R25" s="45">
        <v>0</v>
      </c>
      <c r="S25" s="44"/>
    </row>
    <row r="26" spans="1:19" x14ac:dyDescent="0.3">
      <c r="A26" s="42">
        <v>45989</v>
      </c>
      <c r="B26" s="16">
        <f>63437+12970</f>
        <v>76407</v>
      </c>
      <c r="C26" s="45">
        <f>B26/1.1</f>
        <v>69460.909090909088</v>
      </c>
      <c r="D26" s="45">
        <f t="shared" si="1"/>
        <v>6946.0909090909081</v>
      </c>
      <c r="E26" s="16">
        <f>7470+255</f>
        <v>7725</v>
      </c>
      <c r="F26" s="45">
        <f t="shared" si="2"/>
        <v>7022.7272727272721</v>
      </c>
      <c r="G26" s="45">
        <f t="shared" si="3"/>
        <v>702.27272727272725</v>
      </c>
      <c r="H26" s="45">
        <v>0</v>
      </c>
      <c r="I26" s="45">
        <f t="shared" si="4"/>
        <v>0</v>
      </c>
      <c r="J26" s="45">
        <f t="shared" si="5"/>
        <v>0</v>
      </c>
      <c r="K26" s="16">
        <f>2040+240</f>
        <v>2280</v>
      </c>
      <c r="L26" s="45">
        <f t="shared" si="6"/>
        <v>1900</v>
      </c>
      <c r="M26" s="45">
        <f t="shared" si="7"/>
        <v>380</v>
      </c>
      <c r="N26" s="16">
        <f>8462</f>
        <v>8462</v>
      </c>
      <c r="O26" s="16">
        <f>64485+13465</f>
        <v>77950</v>
      </c>
      <c r="P26" s="45">
        <v>0</v>
      </c>
      <c r="Q26" s="45">
        <v>0</v>
      </c>
      <c r="R26" s="45">
        <v>11330</v>
      </c>
      <c r="S26" s="44"/>
    </row>
    <row r="27" spans="1:19" x14ac:dyDescent="0.3">
      <c r="A27" s="42">
        <v>45990</v>
      </c>
      <c r="B27" s="16">
        <f>99035+85330</f>
        <v>184365</v>
      </c>
      <c r="C27" s="45">
        <f t="shared" ref="C27:C28" si="8">B27/1.1</f>
        <v>167604.54545454544</v>
      </c>
      <c r="D27" s="45">
        <f t="shared" ref="D27:D28" si="9">C27*10/100</f>
        <v>16760.454545454544</v>
      </c>
      <c r="E27" s="16">
        <f>9005+9105</f>
        <v>18110</v>
      </c>
      <c r="F27" s="45">
        <f t="shared" ref="F27:F28" si="10">E27/1.1</f>
        <v>16463.636363636364</v>
      </c>
      <c r="G27" s="45">
        <f t="shared" ref="G27:G28" si="11">F27*10/100</f>
        <v>1646.3636363636365</v>
      </c>
      <c r="H27" s="16">
        <f>600</f>
        <v>600</v>
      </c>
      <c r="I27" s="45">
        <f t="shared" ref="I27:I28" si="12">H27/1.2</f>
        <v>500</v>
      </c>
      <c r="J27" s="45">
        <f t="shared" ref="J27:J28" si="13">I27*20/100</f>
        <v>100</v>
      </c>
      <c r="K27" s="16">
        <f>3360+4200</f>
        <v>7560</v>
      </c>
      <c r="L27" s="45">
        <f t="shared" ref="L27:L28" si="14">K27/1.2</f>
        <v>6300</v>
      </c>
      <c r="M27" s="45">
        <f t="shared" ref="M27:M28" si="15">L27*20/100</f>
        <v>1260</v>
      </c>
      <c r="N27" s="16">
        <f>2720+12920</f>
        <v>15640</v>
      </c>
      <c r="O27" s="16">
        <f>109280-4670+85715-1545</f>
        <v>188780</v>
      </c>
      <c r="P27" s="16">
        <f>4670+1545</f>
        <v>6215</v>
      </c>
      <c r="Q27" s="45">
        <v>0</v>
      </c>
      <c r="R27" s="45">
        <v>13905</v>
      </c>
      <c r="S27" s="44"/>
    </row>
    <row r="28" spans="1:19" x14ac:dyDescent="0.3">
      <c r="A28" s="42">
        <v>45991</v>
      </c>
      <c r="B28" s="16">
        <f>75225+104657</f>
        <v>179882</v>
      </c>
      <c r="C28" s="45">
        <f t="shared" si="8"/>
        <v>163529.09090909088</v>
      </c>
      <c r="D28" s="45">
        <f t="shared" si="9"/>
        <v>16352.909090909086</v>
      </c>
      <c r="E28" s="16">
        <f>5355+13705</f>
        <v>19060</v>
      </c>
      <c r="F28" s="45">
        <f t="shared" si="10"/>
        <v>17327.272727272724</v>
      </c>
      <c r="G28" s="45">
        <f t="shared" si="11"/>
        <v>1732.7272727272723</v>
      </c>
      <c r="H28" s="16">
        <f>200</f>
        <v>200</v>
      </c>
      <c r="I28" s="45">
        <f t="shared" si="12"/>
        <v>166.66666666666669</v>
      </c>
      <c r="J28" s="45">
        <f t="shared" si="13"/>
        <v>33.333333333333343</v>
      </c>
      <c r="K28" s="16">
        <f>1320+3240</f>
        <v>4560</v>
      </c>
      <c r="L28" s="45">
        <f t="shared" si="14"/>
        <v>3800</v>
      </c>
      <c r="M28" s="45">
        <f t="shared" si="15"/>
        <v>760</v>
      </c>
      <c r="N28" s="16">
        <f>6510+7217</f>
        <v>13727</v>
      </c>
      <c r="O28" s="16">
        <f>75390-8065+114585-8175</f>
        <v>173735</v>
      </c>
      <c r="P28" s="16">
        <f>8065+8175</f>
        <v>16240</v>
      </c>
      <c r="Q28" s="45">
        <v>0</v>
      </c>
      <c r="R28" s="45">
        <v>0</v>
      </c>
      <c r="S28" s="44"/>
    </row>
    <row r="29" spans="1:19" ht="15.6" x14ac:dyDescent="0.3">
      <c r="B29" s="48">
        <f>SUM(B3:B28)</f>
        <v>3160000.55</v>
      </c>
      <c r="C29" s="48"/>
      <c r="D29" s="48"/>
      <c r="E29" s="48">
        <f>SUM(E3:E28)</f>
        <v>300669.21000000002</v>
      </c>
      <c r="F29" s="48"/>
      <c r="G29" s="48"/>
      <c r="H29" s="48">
        <f>SUM(H3:H28)</f>
        <v>11727</v>
      </c>
      <c r="I29" s="48"/>
      <c r="J29" s="48"/>
      <c r="K29" s="48">
        <f>SUM(K3:K28)</f>
        <v>125093.73999999999</v>
      </c>
      <c r="L29" s="48"/>
      <c r="M29" s="48"/>
      <c r="N29" s="48">
        <f>SUM(N3:N28)</f>
        <v>183203</v>
      </c>
      <c r="O29" s="48">
        <f>SUM(O3:O28)</f>
        <v>3235561.05</v>
      </c>
      <c r="P29" s="48">
        <f>SUM(P3:P28)</f>
        <v>178726.45</v>
      </c>
      <c r="Q29" s="48">
        <f>SUM(Q3:Q28)</f>
        <v>2607</v>
      </c>
      <c r="R29" s="48">
        <f>SUM(R3:R28)</f>
        <v>275089.5</v>
      </c>
      <c r="S29" s="49"/>
    </row>
    <row r="31" spans="1:19" x14ac:dyDescent="0.3">
      <c r="B31" s="63">
        <v>0.1</v>
      </c>
      <c r="C31" s="63">
        <v>0.2</v>
      </c>
      <c r="D31" s="41" t="s">
        <v>5</v>
      </c>
      <c r="E31" s="41" t="s">
        <v>11</v>
      </c>
      <c r="F31" s="41" t="s">
        <v>90</v>
      </c>
      <c r="O31" s="50">
        <f>O29+P29+R29</f>
        <v>3689377</v>
      </c>
    </row>
    <row r="32" spans="1:19" x14ac:dyDescent="0.3">
      <c r="A32" s="47" t="s">
        <v>91</v>
      </c>
      <c r="B32" s="50">
        <v>1700472</v>
      </c>
      <c r="C32" s="50">
        <v>71331</v>
      </c>
      <c r="D32" s="50">
        <v>79355</v>
      </c>
      <c r="E32" s="50">
        <v>1692448</v>
      </c>
      <c r="F32" s="50">
        <v>51875</v>
      </c>
    </row>
    <row r="33" spans="1:11" x14ac:dyDescent="0.3">
      <c r="A33" s="47" t="s">
        <v>92</v>
      </c>
      <c r="B33" s="50">
        <v>1760197.76</v>
      </c>
      <c r="C33" s="50">
        <v>65489.74</v>
      </c>
      <c r="D33" s="50">
        <v>103848</v>
      </c>
      <c r="E33" s="50">
        <v>1721839.5</v>
      </c>
      <c r="F33" s="50">
        <v>42185</v>
      </c>
    </row>
    <row r="34" spans="1:11" x14ac:dyDescent="0.3">
      <c r="B34" s="48">
        <f>SUM(B32:B33)</f>
        <v>3460669.76</v>
      </c>
      <c r="C34" s="48">
        <f>SUM(C32:C33)</f>
        <v>136820.74</v>
      </c>
      <c r="D34" s="48">
        <f>SUM(D32:D33)</f>
        <v>183203</v>
      </c>
      <c r="E34" s="48">
        <f>SUM(E32:E33)</f>
        <v>3414287.5</v>
      </c>
      <c r="F34" s="48">
        <f>SUM(F32:F33)</f>
        <v>94060</v>
      </c>
    </row>
    <row r="35" spans="1:11" x14ac:dyDescent="0.3">
      <c r="B35" s="50">
        <f>B29+E29</f>
        <v>3460669.76</v>
      </c>
      <c r="C35" s="50">
        <f>H29+K29</f>
        <v>136820.74</v>
      </c>
      <c r="D35" s="50">
        <f>N29</f>
        <v>183203</v>
      </c>
      <c r="E35" s="50">
        <f>O29+P29</f>
        <v>3414287.5</v>
      </c>
      <c r="F35" s="50">
        <f>Q29+R29</f>
        <v>277696.5</v>
      </c>
    </row>
    <row r="36" spans="1:11" x14ac:dyDescent="0.3">
      <c r="B36" s="50">
        <f>B35-B34</f>
        <v>0</v>
      </c>
      <c r="C36" s="57">
        <f>C34-C35</f>
        <v>0</v>
      </c>
      <c r="D36" s="50">
        <f t="shared" ref="D36:F36" si="16">D34-D35</f>
        <v>0</v>
      </c>
      <c r="E36" s="50">
        <f t="shared" si="16"/>
        <v>0</v>
      </c>
      <c r="F36" s="50">
        <f t="shared" si="16"/>
        <v>-183636.5</v>
      </c>
    </row>
    <row r="39" spans="1:11" x14ac:dyDescent="0.3">
      <c r="F39" s="41" t="s">
        <v>88</v>
      </c>
      <c r="G39" s="41" t="s">
        <v>89</v>
      </c>
      <c r="H39" s="41" t="s">
        <v>71</v>
      </c>
      <c r="I39" s="41" t="s">
        <v>74</v>
      </c>
      <c r="J39"/>
      <c r="K39" s="18"/>
    </row>
    <row r="40" spans="1:11" x14ac:dyDescent="0.3">
      <c r="A40" s="52">
        <v>0.1</v>
      </c>
      <c r="B40" s="18">
        <v>1760197.76</v>
      </c>
      <c r="C40" s="18">
        <v>1700472</v>
      </c>
      <c r="D40" s="18">
        <f>SUM(B40:C40)</f>
        <v>3460669.76</v>
      </c>
      <c r="E40"/>
      <c r="F40" s="18">
        <f>B29+E29</f>
        <v>3460669.76</v>
      </c>
      <c r="G40" s="18">
        <f>D40-F40</f>
        <v>0</v>
      </c>
      <c r="H40" s="18">
        <v>3416627.03</v>
      </c>
      <c r="I40" s="18">
        <f>H40*10/100</f>
        <v>341662.70299999998</v>
      </c>
      <c r="J40"/>
      <c r="K40"/>
    </row>
    <row r="41" spans="1:11" x14ac:dyDescent="0.3">
      <c r="A41" s="52">
        <v>0.2</v>
      </c>
      <c r="B41" s="18">
        <v>65489.74</v>
      </c>
      <c r="C41" s="18">
        <v>71331</v>
      </c>
      <c r="D41" s="18">
        <f t="shared" ref="D41:D47" si="17">SUM(B41:C41)</f>
        <v>136820.74</v>
      </c>
      <c r="E41" s="18"/>
      <c r="F41" s="18">
        <f>H29+K29</f>
        <v>136820.74</v>
      </c>
      <c r="G41" s="57">
        <f t="shared" ref="G41:G47" si="18">D41-F41</f>
        <v>0</v>
      </c>
      <c r="H41" s="18">
        <v>139718.54999999999</v>
      </c>
      <c r="I41" s="18">
        <f>H41*20/100</f>
        <v>27943.71</v>
      </c>
      <c r="J41"/>
      <c r="K41" s="18"/>
    </row>
    <row r="42" spans="1:11" x14ac:dyDescent="0.3">
      <c r="A42" s="53" t="s">
        <v>73</v>
      </c>
      <c r="B42" s="20">
        <f>SUM(B40:B41)</f>
        <v>1825687.5</v>
      </c>
      <c r="C42" s="20">
        <f>SUM(C40:C41)</f>
        <v>1771803</v>
      </c>
      <c r="D42" s="20">
        <f t="shared" si="17"/>
        <v>3597490.5</v>
      </c>
      <c r="E42" s="18"/>
      <c r="F42" s="20">
        <f>SUM(F40:F41)</f>
        <v>3597490.5</v>
      </c>
      <c r="G42" s="18">
        <f t="shared" si="18"/>
        <v>0</v>
      </c>
      <c r="H42" s="18">
        <f>SUM(H40:H41)</f>
        <v>3556345.5799999996</v>
      </c>
      <c r="I42" s="18">
        <f>SUM(I40:I41)</f>
        <v>369606.413</v>
      </c>
      <c r="J42" s="18">
        <f>H42+I42</f>
        <v>3925951.9929999998</v>
      </c>
      <c r="K42" s="18" t="s">
        <v>75</v>
      </c>
    </row>
    <row r="43" spans="1:11" x14ac:dyDescent="0.3">
      <c r="A43" s="4" t="s">
        <v>76</v>
      </c>
      <c r="B43" s="18">
        <v>105105</v>
      </c>
      <c r="C43" s="18">
        <v>80705</v>
      </c>
      <c r="D43" s="18">
        <f t="shared" si="17"/>
        <v>185810</v>
      </c>
      <c r="E43"/>
      <c r="F43" s="18">
        <f>N29+Q29</f>
        <v>185810</v>
      </c>
      <c r="G43" s="18">
        <f t="shared" si="18"/>
        <v>0</v>
      </c>
      <c r="H43" s="18"/>
      <c r="I43"/>
      <c r="J43" s="18">
        <f>F42</f>
        <v>3597490.5</v>
      </c>
      <c r="K43" t="s">
        <v>77</v>
      </c>
    </row>
    <row r="44" spans="1:11" x14ac:dyDescent="0.3">
      <c r="A44" s="4" t="s">
        <v>78</v>
      </c>
      <c r="B44" s="18">
        <v>1786877.5</v>
      </c>
      <c r="C44" s="18">
        <v>1902499.5</v>
      </c>
      <c r="D44" s="18">
        <f t="shared" si="17"/>
        <v>3689377</v>
      </c>
      <c r="E44"/>
      <c r="F44" s="18">
        <f>O29+P29+R29</f>
        <v>3689377</v>
      </c>
      <c r="G44" s="18">
        <f t="shared" si="18"/>
        <v>0</v>
      </c>
      <c r="H44" s="18"/>
      <c r="I44"/>
      <c r="J44" s="18">
        <f>Q29+R29+30000</f>
        <v>307696.5</v>
      </c>
      <c r="K44" t="s">
        <v>79</v>
      </c>
    </row>
    <row r="45" spans="1:11" x14ac:dyDescent="0.3">
      <c r="A45" s="53" t="s">
        <v>73</v>
      </c>
      <c r="B45" s="20">
        <f>SUM(B43:B44)</f>
        <v>1891982.5</v>
      </c>
      <c r="C45" s="20">
        <f>SUM(C43:C44)</f>
        <v>1983204.5</v>
      </c>
      <c r="D45" s="20">
        <f t="shared" si="17"/>
        <v>3875187</v>
      </c>
      <c r="E45" s="20"/>
      <c r="F45" s="20">
        <f>SUM(F43:F44)</f>
        <v>3875187</v>
      </c>
      <c r="G45" s="18">
        <f t="shared" si="18"/>
        <v>0</v>
      </c>
      <c r="H45" s="18"/>
      <c r="I45"/>
      <c r="J45" s="18">
        <f>J42-J43-J44</f>
        <v>20764.992999999784</v>
      </c>
      <c r="K45"/>
    </row>
    <row r="46" spans="1:11" x14ac:dyDescent="0.3">
      <c r="A46" s="54" t="s">
        <v>80</v>
      </c>
      <c r="B46" s="55">
        <f>B45-B42</f>
        <v>66295</v>
      </c>
      <c r="C46" s="55">
        <f t="shared" ref="C46:D46" si="19">C45-C42</f>
        <v>211401.5</v>
      </c>
      <c r="D46" s="55">
        <f t="shared" si="19"/>
        <v>277696.5</v>
      </c>
      <c r="E46" s="23"/>
      <c r="F46"/>
      <c r="G46" s="18"/>
      <c r="H46" s="18"/>
      <c r="I46"/>
      <c r="J46" s="18">
        <v>20765</v>
      </c>
      <c r="K46" t="s">
        <v>81</v>
      </c>
    </row>
    <row r="47" spans="1:11" x14ac:dyDescent="0.3">
      <c r="A47" s="56" t="s">
        <v>82</v>
      </c>
      <c r="B47" s="57">
        <v>66295</v>
      </c>
      <c r="C47" s="57">
        <v>211401.5</v>
      </c>
      <c r="D47" s="57">
        <f t="shared" si="17"/>
        <v>277696.5</v>
      </c>
      <c r="E47" s="23"/>
      <c r="F47" s="20">
        <f>Q29+R29</f>
        <v>277696.5</v>
      </c>
      <c r="G47" s="18">
        <f t="shared" si="18"/>
        <v>0</v>
      </c>
      <c r="H47" s="18"/>
      <c r="I47"/>
      <c r="J47" s="55">
        <f>J45-J46</f>
        <v>-7.0000002160668373E-3</v>
      </c>
      <c r="K47" s="58"/>
    </row>
    <row r="48" spans="1:11" x14ac:dyDescent="0.3">
      <c r="A48" s="4"/>
      <c r="B48"/>
      <c r="C48"/>
      <c r="D48"/>
      <c r="E48"/>
      <c r="F48" s="18"/>
      <c r="G48"/>
      <c r="H48"/>
      <c r="I48"/>
      <c r="J48"/>
      <c r="K48"/>
    </row>
    <row r="49" spans="1:11" x14ac:dyDescent="0.3">
      <c r="A49" s="4"/>
      <c r="B49"/>
      <c r="C49"/>
      <c r="D49"/>
      <c r="E49"/>
      <c r="F49"/>
      <c r="G49"/>
      <c r="H49"/>
      <c r="I49"/>
      <c r="J49"/>
      <c r="K49"/>
    </row>
    <row r="50" spans="1:11" x14ac:dyDescent="0.3">
      <c r="A50" s="4"/>
      <c r="B50"/>
      <c r="C50"/>
      <c r="D50"/>
      <c r="E50"/>
      <c r="F50"/>
      <c r="G50" s="18"/>
      <c r="H50" t="s">
        <v>93</v>
      </c>
      <c r="I50"/>
      <c r="J50"/>
      <c r="K50"/>
    </row>
    <row r="51" spans="1:11" x14ac:dyDescent="0.3">
      <c r="H51" s="41" t="s">
        <v>94</v>
      </c>
    </row>
  </sheetData>
  <mergeCells count="1">
    <mergeCell ref="Q1:R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tabSelected="1" topLeftCell="A22" workbookViewId="0">
      <selection activeCell="E45" sqref="E45"/>
    </sheetView>
  </sheetViews>
  <sheetFormatPr defaultRowHeight="14.4" x14ac:dyDescent="0.3"/>
  <cols>
    <col min="1" max="1" width="12.109375" style="47" bestFit="1" customWidth="1"/>
    <col min="2" max="4" width="11.77734375" style="41" bestFit="1" customWidth="1"/>
    <col min="5" max="5" width="11.5546875" style="41" bestFit="1" customWidth="1"/>
    <col min="6" max="6" width="11.6640625" style="41" bestFit="1" customWidth="1"/>
    <col min="7" max="8" width="11.5546875" style="41" bestFit="1" customWidth="1"/>
    <col min="9" max="9" width="11.77734375" style="41" customWidth="1"/>
    <col min="10" max="10" width="11.6640625" style="41" bestFit="1" customWidth="1"/>
    <col min="11" max="11" width="12.21875" style="41" customWidth="1"/>
    <col min="12" max="12" width="11.44140625" style="41" customWidth="1"/>
    <col min="13" max="13" width="11.5546875" style="41" customWidth="1"/>
    <col min="14" max="14" width="11.33203125" style="41" customWidth="1"/>
    <col min="15" max="15" width="11.6640625" style="41" bestFit="1" customWidth="1"/>
    <col min="16" max="16" width="10.21875" style="41" bestFit="1" customWidth="1"/>
    <col min="17" max="17" width="13.5546875" style="41" customWidth="1"/>
    <col min="18" max="18" width="11.44140625" style="41" bestFit="1" customWidth="1"/>
    <col min="19" max="19" width="21.44140625" style="47" customWidth="1"/>
    <col min="20" max="16384" width="8.88671875" style="41"/>
  </cols>
  <sheetData>
    <row r="1" spans="1:19" x14ac:dyDescent="0.3">
      <c r="A1" s="64" t="s">
        <v>0</v>
      </c>
      <c r="B1" s="40" t="s">
        <v>1</v>
      </c>
      <c r="C1" s="40"/>
      <c r="D1" s="40"/>
      <c r="E1" s="40" t="s">
        <v>2</v>
      </c>
      <c r="F1" s="40"/>
      <c r="G1" s="40"/>
      <c r="H1" s="40" t="s">
        <v>3</v>
      </c>
      <c r="I1" s="40"/>
      <c r="J1" s="40"/>
      <c r="K1" s="40" t="s">
        <v>4</v>
      </c>
      <c r="L1" s="40"/>
      <c r="M1" s="40"/>
      <c r="N1" s="40" t="s">
        <v>5</v>
      </c>
      <c r="O1" s="40" t="s">
        <v>6</v>
      </c>
      <c r="P1" s="40" t="s">
        <v>7</v>
      </c>
      <c r="Q1" s="68" t="s">
        <v>8</v>
      </c>
      <c r="R1" s="68"/>
      <c r="S1" s="64" t="s">
        <v>9</v>
      </c>
    </row>
    <row r="2" spans="1:19" x14ac:dyDescent="0.3">
      <c r="A2" s="42"/>
      <c r="B2" s="43">
        <v>0.1</v>
      </c>
      <c r="C2" s="43"/>
      <c r="D2" s="43"/>
      <c r="E2" s="43">
        <v>0.1</v>
      </c>
      <c r="F2" s="43"/>
      <c r="G2" s="43"/>
      <c r="H2" s="43">
        <v>0.2</v>
      </c>
      <c r="I2" s="43"/>
      <c r="J2" s="43"/>
      <c r="K2" s="43">
        <v>0.2</v>
      </c>
      <c r="L2" s="43"/>
      <c r="M2" s="43"/>
      <c r="N2" s="64"/>
      <c r="O2" s="64"/>
      <c r="P2" s="64"/>
      <c r="Q2" s="64" t="s">
        <v>5</v>
      </c>
      <c r="R2" s="64" t="s">
        <v>11</v>
      </c>
      <c r="S2" s="44"/>
    </row>
    <row r="3" spans="1:19" x14ac:dyDescent="0.3">
      <c r="A3" s="42">
        <v>45993</v>
      </c>
      <c r="B3" s="16">
        <f>26057.5+6640</f>
        <v>32697.5</v>
      </c>
      <c r="C3" s="45">
        <f>B3/1.1</f>
        <v>29724.999999999996</v>
      </c>
      <c r="D3" s="45">
        <f>C3*10/100</f>
        <v>2972.4999999999995</v>
      </c>
      <c r="E3" s="16">
        <f>3070</f>
        <v>3070</v>
      </c>
      <c r="F3" s="45">
        <f>E3/1.1</f>
        <v>2790.9090909090905</v>
      </c>
      <c r="G3" s="45">
        <f>F3*10/100</f>
        <v>279.09090909090907</v>
      </c>
      <c r="H3" s="45">
        <v>0</v>
      </c>
      <c r="I3" s="45">
        <f>H3/1.2</f>
        <v>0</v>
      </c>
      <c r="J3" s="45">
        <f>I3*20/100</f>
        <v>0</v>
      </c>
      <c r="K3" s="16">
        <f>960+480</f>
        <v>1440</v>
      </c>
      <c r="L3" s="45">
        <f>K3/1.2</f>
        <v>1200</v>
      </c>
      <c r="M3" s="45">
        <f>L3*20/100</f>
        <v>240</v>
      </c>
      <c r="N3" s="16">
        <v>3577.5</v>
      </c>
      <c r="O3" s="16">
        <f>26510-12830+7120-2990</f>
        <v>17810</v>
      </c>
      <c r="P3" s="16">
        <f>12830+2990</f>
        <v>15820</v>
      </c>
      <c r="Q3" s="45">
        <v>2647</v>
      </c>
      <c r="R3" s="45">
        <v>9713</v>
      </c>
      <c r="S3" s="44"/>
    </row>
    <row r="4" spans="1:19" x14ac:dyDescent="0.3">
      <c r="A4" s="42">
        <v>45994</v>
      </c>
      <c r="B4" s="16">
        <f>8300+38830</f>
        <v>47130</v>
      </c>
      <c r="C4" s="45">
        <f t="shared" ref="C4:C25" si="0">B4/1.1</f>
        <v>42845.454545454544</v>
      </c>
      <c r="D4" s="45">
        <f t="shared" ref="D4:D28" si="1">C4*10/100</f>
        <v>4284.545454545454</v>
      </c>
      <c r="E4" s="16">
        <f>490+4635</f>
        <v>5125</v>
      </c>
      <c r="F4" s="45">
        <f t="shared" ref="F4:F28" si="2">E4/1.1</f>
        <v>4659.090909090909</v>
      </c>
      <c r="G4" s="45">
        <f t="shared" ref="G4:G28" si="3">F4*10/100</f>
        <v>465.90909090909088</v>
      </c>
      <c r="H4" s="16">
        <v>1100</v>
      </c>
      <c r="I4" s="45">
        <f t="shared" ref="I4:I28" si="4">H4/1.2</f>
        <v>916.66666666666674</v>
      </c>
      <c r="J4" s="45">
        <f t="shared" ref="J4:J28" si="5">I4*20/100</f>
        <v>183.33333333333337</v>
      </c>
      <c r="K4" s="16">
        <f>120+2160</f>
        <v>2280</v>
      </c>
      <c r="L4" s="45">
        <f t="shared" ref="L4:L28" si="6">K4/1.2</f>
        <v>1900</v>
      </c>
      <c r="M4" s="45">
        <f t="shared" ref="M4:M28" si="7">L4*20/100</f>
        <v>380</v>
      </c>
      <c r="N4" s="16">
        <f>2190+8550</f>
        <v>10740</v>
      </c>
      <c r="O4" s="16">
        <f>6720+38175-130</f>
        <v>44765</v>
      </c>
      <c r="P4" s="16">
        <v>130</v>
      </c>
      <c r="Q4" s="45">
        <v>0</v>
      </c>
      <c r="R4" s="45">
        <v>6990</v>
      </c>
      <c r="S4" s="44"/>
    </row>
    <row r="5" spans="1:19" x14ac:dyDescent="0.3">
      <c r="A5" s="42">
        <v>45995</v>
      </c>
      <c r="B5" s="16">
        <f>33065+44205</f>
        <v>77270</v>
      </c>
      <c r="C5" s="45">
        <f t="shared" si="0"/>
        <v>70245.454545454544</v>
      </c>
      <c r="D5" s="45">
        <f t="shared" si="1"/>
        <v>7024.545454545454</v>
      </c>
      <c r="E5" s="16">
        <f>2660+5295</f>
        <v>7955</v>
      </c>
      <c r="F5" s="45">
        <f t="shared" si="2"/>
        <v>7231.8181818181811</v>
      </c>
      <c r="G5" s="45">
        <f t="shared" si="3"/>
        <v>723.18181818181813</v>
      </c>
      <c r="H5" s="16">
        <v>700</v>
      </c>
      <c r="I5" s="45">
        <f t="shared" si="4"/>
        <v>583.33333333333337</v>
      </c>
      <c r="J5" s="45">
        <f t="shared" si="5"/>
        <v>116.66666666666669</v>
      </c>
      <c r="K5" s="16">
        <f>1200+1920</f>
        <v>3120</v>
      </c>
      <c r="L5" s="45">
        <f t="shared" si="6"/>
        <v>2600</v>
      </c>
      <c r="M5" s="45">
        <f t="shared" si="7"/>
        <v>520</v>
      </c>
      <c r="N5" s="16">
        <f>1790+5775</f>
        <v>7565</v>
      </c>
      <c r="O5" s="16">
        <f>35135-7221.25+46345-270</f>
        <v>73988.75</v>
      </c>
      <c r="P5" s="16">
        <f>7221.25+270</f>
        <v>7491.25</v>
      </c>
      <c r="Q5" s="45">
        <v>0</v>
      </c>
      <c r="R5" s="45">
        <v>0</v>
      </c>
      <c r="S5" s="46"/>
    </row>
    <row r="6" spans="1:19" x14ac:dyDescent="0.3">
      <c r="A6" s="42">
        <v>45996</v>
      </c>
      <c r="B6" s="16">
        <f>20090+38510</f>
        <v>58600</v>
      </c>
      <c r="C6" s="45">
        <f t="shared" si="0"/>
        <v>53272.727272727265</v>
      </c>
      <c r="D6" s="45">
        <f t="shared" si="1"/>
        <v>5327.272727272727</v>
      </c>
      <c r="E6" s="16">
        <f>1480+2855</f>
        <v>4335</v>
      </c>
      <c r="F6" s="45">
        <f t="shared" si="2"/>
        <v>3940.9090909090905</v>
      </c>
      <c r="G6" s="45">
        <f t="shared" si="3"/>
        <v>394.09090909090907</v>
      </c>
      <c r="H6" s="16">
        <v>900</v>
      </c>
      <c r="I6" s="45">
        <f t="shared" si="4"/>
        <v>750</v>
      </c>
      <c r="J6" s="45">
        <f t="shared" si="5"/>
        <v>150</v>
      </c>
      <c r="K6" s="16">
        <f>1080+2640</f>
        <v>3720</v>
      </c>
      <c r="L6" s="45">
        <f t="shared" si="6"/>
        <v>3100</v>
      </c>
      <c r="M6" s="45">
        <f t="shared" si="7"/>
        <v>620</v>
      </c>
      <c r="N6" s="16">
        <f>4255+3970</f>
        <v>8225</v>
      </c>
      <c r="O6" s="16">
        <f>18395+40935</f>
        <v>59330</v>
      </c>
      <c r="P6" s="45">
        <v>0</v>
      </c>
      <c r="Q6" s="45">
        <v>0</v>
      </c>
      <c r="R6" s="45">
        <v>11635</v>
      </c>
      <c r="S6" s="44"/>
    </row>
    <row r="7" spans="1:19" x14ac:dyDescent="0.3">
      <c r="A7" s="42">
        <v>45997</v>
      </c>
      <c r="B7" s="16">
        <f>123775+85395</f>
        <v>209170</v>
      </c>
      <c r="C7" s="45">
        <f t="shared" si="0"/>
        <v>190154.54545454544</v>
      </c>
      <c r="D7" s="45">
        <f t="shared" si="1"/>
        <v>19015.454545454544</v>
      </c>
      <c r="E7" s="16">
        <f>9740+4660</f>
        <v>14400</v>
      </c>
      <c r="F7" s="45">
        <f t="shared" si="2"/>
        <v>13090.90909090909</v>
      </c>
      <c r="G7" s="45">
        <f t="shared" si="3"/>
        <v>1309.090909090909</v>
      </c>
      <c r="H7" s="16">
        <v>1000</v>
      </c>
      <c r="I7" s="45">
        <f t="shared" si="4"/>
        <v>833.33333333333337</v>
      </c>
      <c r="J7" s="45">
        <f t="shared" si="5"/>
        <v>166.66666666666669</v>
      </c>
      <c r="K7" s="16">
        <f>4680+3120</f>
        <v>7800</v>
      </c>
      <c r="L7" s="45">
        <f t="shared" si="6"/>
        <v>6500</v>
      </c>
      <c r="M7" s="45">
        <f t="shared" si="7"/>
        <v>1300</v>
      </c>
      <c r="N7" s="16">
        <f>13622+1000</f>
        <v>14622</v>
      </c>
      <c r="O7" s="16">
        <f>125573+92175-3580</f>
        <v>214168</v>
      </c>
      <c r="P7" s="16">
        <v>3580</v>
      </c>
      <c r="Q7" s="45">
        <v>0</v>
      </c>
      <c r="R7" s="45">
        <v>0</v>
      </c>
      <c r="S7" s="44"/>
    </row>
    <row r="8" spans="1:19" x14ac:dyDescent="0.3">
      <c r="A8" s="42">
        <v>45998</v>
      </c>
      <c r="B8" s="16">
        <f>95970+97540</f>
        <v>193510</v>
      </c>
      <c r="C8" s="45">
        <f t="shared" si="0"/>
        <v>175918.18181818179</v>
      </c>
      <c r="D8" s="45">
        <f t="shared" si="1"/>
        <v>17591.81818181818</v>
      </c>
      <c r="E8" s="16">
        <f>7820+9125</f>
        <v>16945</v>
      </c>
      <c r="F8" s="45">
        <f t="shared" si="2"/>
        <v>15404.545454545454</v>
      </c>
      <c r="G8" s="45">
        <f t="shared" si="3"/>
        <v>1540.4545454545453</v>
      </c>
      <c r="H8" s="16">
        <v>600</v>
      </c>
      <c r="I8" s="45">
        <f t="shared" si="4"/>
        <v>500</v>
      </c>
      <c r="J8" s="45">
        <f t="shared" si="5"/>
        <v>100</v>
      </c>
      <c r="K8" s="16">
        <f>3360+960</f>
        <v>4320</v>
      </c>
      <c r="L8" s="45">
        <f t="shared" si="6"/>
        <v>3600</v>
      </c>
      <c r="M8" s="45">
        <f t="shared" si="7"/>
        <v>720</v>
      </c>
      <c r="N8" s="16">
        <f>8195+2060</f>
        <v>10255</v>
      </c>
      <c r="O8" s="16">
        <f>99555-4850+105565-7568</f>
        <v>192702</v>
      </c>
      <c r="P8" s="16">
        <f>4850+7568</f>
        <v>12418</v>
      </c>
      <c r="Q8" s="45">
        <v>0</v>
      </c>
      <c r="R8" s="45">
        <f>1790+11480</f>
        <v>13270</v>
      </c>
      <c r="S8" s="44"/>
    </row>
    <row r="9" spans="1:19" x14ac:dyDescent="0.3">
      <c r="A9" s="42">
        <v>46000</v>
      </c>
      <c r="B9" s="16">
        <f>26695+7165</f>
        <v>33860</v>
      </c>
      <c r="C9" s="45">
        <f t="shared" si="0"/>
        <v>30781.81818181818</v>
      </c>
      <c r="D9" s="45">
        <f t="shared" si="1"/>
        <v>3078.181818181818</v>
      </c>
      <c r="E9" s="16">
        <f>1680+735</f>
        <v>2415</v>
      </c>
      <c r="F9" s="45">
        <f t="shared" si="2"/>
        <v>2195.4545454545455</v>
      </c>
      <c r="G9" s="45">
        <f t="shared" si="3"/>
        <v>219.54545454545456</v>
      </c>
      <c r="H9" s="16">
        <f>800+365</f>
        <v>1165</v>
      </c>
      <c r="I9" s="45">
        <f t="shared" si="4"/>
        <v>970.83333333333337</v>
      </c>
      <c r="J9" s="45">
        <f t="shared" si="5"/>
        <v>194.16666666666669</v>
      </c>
      <c r="K9" s="16">
        <f>960+720</f>
        <v>1680</v>
      </c>
      <c r="L9" s="45">
        <f t="shared" si="6"/>
        <v>1400</v>
      </c>
      <c r="M9" s="45">
        <f t="shared" si="7"/>
        <v>280</v>
      </c>
      <c r="N9" s="16">
        <f>4115</f>
        <v>4115</v>
      </c>
      <c r="O9" s="16">
        <f>26020+8985</f>
        <v>35005</v>
      </c>
      <c r="P9" s="45">
        <v>0</v>
      </c>
      <c r="Q9" s="45">
        <v>0</v>
      </c>
      <c r="R9" s="45">
        <v>60000</v>
      </c>
      <c r="S9" s="44"/>
    </row>
    <row r="10" spans="1:19" x14ac:dyDescent="0.3">
      <c r="A10" s="42">
        <v>46001</v>
      </c>
      <c r="B10" s="16">
        <f>45555+12815</f>
        <v>58370</v>
      </c>
      <c r="C10" s="45">
        <f t="shared" si="0"/>
        <v>53063.63636363636</v>
      </c>
      <c r="D10" s="45">
        <f t="shared" si="1"/>
        <v>5306.363636363636</v>
      </c>
      <c r="E10" s="16">
        <f>5220+495</f>
        <v>5715</v>
      </c>
      <c r="F10" s="45">
        <f t="shared" si="2"/>
        <v>5195.454545454545</v>
      </c>
      <c r="G10" s="45">
        <f t="shared" si="3"/>
        <v>519.5454545454545</v>
      </c>
      <c r="H10" s="45">
        <v>0</v>
      </c>
      <c r="I10" s="45">
        <f t="shared" si="4"/>
        <v>0</v>
      </c>
      <c r="J10" s="45">
        <f t="shared" si="5"/>
        <v>0</v>
      </c>
      <c r="K10" s="16">
        <f>1680+480</f>
        <v>2160</v>
      </c>
      <c r="L10" s="45">
        <f t="shared" si="6"/>
        <v>1800</v>
      </c>
      <c r="M10" s="45">
        <f t="shared" si="7"/>
        <v>360</v>
      </c>
      <c r="N10" s="16">
        <f>6990</f>
        <v>6990</v>
      </c>
      <c r="O10" s="16">
        <f>45465-7482+13790-1955</f>
        <v>49818</v>
      </c>
      <c r="P10" s="16">
        <f>7482+1955</f>
        <v>9437</v>
      </c>
      <c r="Q10" s="45">
        <v>2226</v>
      </c>
      <c r="R10" s="45">
        <v>7794</v>
      </c>
      <c r="S10" s="44"/>
    </row>
    <row r="11" spans="1:19" x14ac:dyDescent="0.3">
      <c r="A11" s="42">
        <v>46002</v>
      </c>
      <c r="B11" s="16">
        <f>33010+14520</f>
        <v>47530</v>
      </c>
      <c r="C11" s="45">
        <f t="shared" si="0"/>
        <v>43209.090909090904</v>
      </c>
      <c r="D11" s="45">
        <f t="shared" si="1"/>
        <v>4320.909090909091</v>
      </c>
      <c r="E11" s="16">
        <f>3925+745</f>
        <v>4670</v>
      </c>
      <c r="F11" s="45">
        <f t="shared" si="2"/>
        <v>4245.454545454545</v>
      </c>
      <c r="G11" s="45">
        <f t="shared" si="3"/>
        <v>424.5454545454545</v>
      </c>
      <c r="H11" s="16">
        <f>400</f>
        <v>400</v>
      </c>
      <c r="I11" s="45">
        <f t="shared" si="4"/>
        <v>333.33333333333337</v>
      </c>
      <c r="J11" s="45">
        <f t="shared" si="5"/>
        <v>66.666666666666686</v>
      </c>
      <c r="K11" s="16">
        <f>2160+720</f>
        <v>2880</v>
      </c>
      <c r="L11" s="45">
        <f t="shared" si="6"/>
        <v>2400</v>
      </c>
      <c r="M11" s="45">
        <f t="shared" si="7"/>
        <v>480</v>
      </c>
      <c r="N11" s="16">
        <f>4395</f>
        <v>4395</v>
      </c>
      <c r="O11" s="16">
        <f>34700-7235+16385</f>
        <v>43850</v>
      </c>
      <c r="P11" s="16">
        <v>7235</v>
      </c>
      <c r="Q11" s="45">
        <v>0</v>
      </c>
      <c r="R11" s="45">
        <v>0</v>
      </c>
      <c r="S11" s="44"/>
    </row>
    <row r="12" spans="1:19" x14ac:dyDescent="0.3">
      <c r="A12" s="42">
        <v>46003</v>
      </c>
      <c r="B12" s="16">
        <f>24695+44849</f>
        <v>69544</v>
      </c>
      <c r="C12" s="45">
        <f t="shared" si="0"/>
        <v>63221.818181818177</v>
      </c>
      <c r="D12" s="45">
        <f t="shared" si="1"/>
        <v>6322.181818181818</v>
      </c>
      <c r="E12" s="16">
        <f>2770+4964</f>
        <v>7734</v>
      </c>
      <c r="F12" s="45">
        <f t="shared" si="2"/>
        <v>7030.9090909090901</v>
      </c>
      <c r="G12" s="45">
        <f t="shared" si="3"/>
        <v>703.09090909090901</v>
      </c>
      <c r="H12" s="45">
        <v>0</v>
      </c>
      <c r="I12" s="45">
        <f t="shared" si="4"/>
        <v>0</v>
      </c>
      <c r="J12" s="45">
        <f t="shared" si="5"/>
        <v>0</v>
      </c>
      <c r="K12" s="16">
        <f>1200+3072</f>
        <v>4272</v>
      </c>
      <c r="L12" s="45">
        <f t="shared" si="6"/>
        <v>3560</v>
      </c>
      <c r="M12" s="45">
        <f t="shared" si="7"/>
        <v>712</v>
      </c>
      <c r="N12" s="16">
        <f>9247</f>
        <v>9247</v>
      </c>
      <c r="O12" s="16">
        <f>28665-1790+43638-1790</f>
        <v>68723</v>
      </c>
      <c r="P12" s="16">
        <f>1790+1790</f>
        <v>3580</v>
      </c>
      <c r="Q12" s="45">
        <v>0</v>
      </c>
      <c r="R12" s="45">
        <v>9995</v>
      </c>
      <c r="S12" s="44"/>
    </row>
    <row r="13" spans="1:19" x14ac:dyDescent="0.3">
      <c r="A13" s="42">
        <v>46004</v>
      </c>
      <c r="B13" s="16">
        <f>79558.75+97595</f>
        <v>177153.75</v>
      </c>
      <c r="C13" s="45">
        <f t="shared" si="0"/>
        <v>161048.86363636362</v>
      </c>
      <c r="D13" s="45">
        <f t="shared" si="1"/>
        <v>16104.886363636362</v>
      </c>
      <c r="E13" s="16">
        <f>8060+6810</f>
        <v>14870</v>
      </c>
      <c r="F13" s="45">
        <f t="shared" si="2"/>
        <v>13518.181818181816</v>
      </c>
      <c r="G13" s="45">
        <f t="shared" si="3"/>
        <v>1351.8181818181818</v>
      </c>
      <c r="H13" s="16">
        <f>300</f>
        <v>300</v>
      </c>
      <c r="I13" s="45">
        <f t="shared" si="4"/>
        <v>250</v>
      </c>
      <c r="J13" s="45">
        <f t="shared" si="5"/>
        <v>50</v>
      </c>
      <c r="K13" s="16">
        <f>3084+3480</f>
        <v>6564</v>
      </c>
      <c r="L13" s="45">
        <f t="shared" si="6"/>
        <v>5470</v>
      </c>
      <c r="M13" s="45">
        <f t="shared" si="7"/>
        <v>1094</v>
      </c>
      <c r="N13" s="16">
        <f>1395+8845</f>
        <v>10240</v>
      </c>
      <c r="O13" s="16">
        <f>89607.75-7172.5+99040-7470</f>
        <v>174005.25</v>
      </c>
      <c r="P13" s="16">
        <f>7172.5+7470</f>
        <v>14642.5</v>
      </c>
      <c r="Q13" s="45">
        <v>0</v>
      </c>
      <c r="R13" s="45">
        <f>3580+11535</f>
        <v>15115</v>
      </c>
      <c r="S13" s="44"/>
    </row>
    <row r="14" spans="1:19" x14ac:dyDescent="0.3">
      <c r="A14" s="42">
        <v>46005</v>
      </c>
      <c r="B14" s="16">
        <f>120135+76867.5</f>
        <v>197002.5</v>
      </c>
      <c r="C14" s="45">
        <f t="shared" si="0"/>
        <v>179093.18181818179</v>
      </c>
      <c r="D14" s="45">
        <f t="shared" si="1"/>
        <v>17909.31818181818</v>
      </c>
      <c r="E14" s="16">
        <f>13095+8672.5</f>
        <v>21767.5</v>
      </c>
      <c r="F14" s="45">
        <f t="shared" si="2"/>
        <v>19788.63636363636</v>
      </c>
      <c r="G14" s="45">
        <f t="shared" si="3"/>
        <v>1978.8636363636358</v>
      </c>
      <c r="H14" s="16">
        <f>600</f>
        <v>600</v>
      </c>
      <c r="I14" s="45">
        <f t="shared" si="4"/>
        <v>500</v>
      </c>
      <c r="J14" s="45">
        <f t="shared" si="5"/>
        <v>100</v>
      </c>
      <c r="K14" s="16">
        <f>1680+960</f>
        <v>2640</v>
      </c>
      <c r="L14" s="45">
        <f t="shared" si="6"/>
        <v>2200</v>
      </c>
      <c r="M14" s="45">
        <f t="shared" si="7"/>
        <v>440</v>
      </c>
      <c r="N14" s="16">
        <f>9890+9457.5</f>
        <v>19347.5</v>
      </c>
      <c r="O14" s="16">
        <f>125620-23197+77042.5-7490</f>
        <v>171975.5</v>
      </c>
      <c r="P14" s="16">
        <f>23197+7490</f>
        <v>30687</v>
      </c>
      <c r="Q14" s="45">
        <v>0</v>
      </c>
      <c r="R14" s="45">
        <v>11545</v>
      </c>
      <c r="S14" s="44"/>
    </row>
    <row r="15" spans="1:19" x14ac:dyDescent="0.3">
      <c r="A15" s="42">
        <v>46007</v>
      </c>
      <c r="B15" s="16">
        <f>35335+23975</f>
        <v>59310</v>
      </c>
      <c r="C15" s="45">
        <f t="shared" si="0"/>
        <v>53918.181818181816</v>
      </c>
      <c r="D15" s="45">
        <f t="shared" si="1"/>
        <v>5391.8181818181811</v>
      </c>
      <c r="E15" s="16">
        <f>1905+2455</f>
        <v>4360</v>
      </c>
      <c r="F15" s="45">
        <f t="shared" si="2"/>
        <v>3963.6363636363635</v>
      </c>
      <c r="G15" s="45">
        <f t="shared" si="3"/>
        <v>396.36363636363632</v>
      </c>
      <c r="H15" s="16">
        <v>700</v>
      </c>
      <c r="I15" s="45">
        <f t="shared" si="4"/>
        <v>583.33333333333337</v>
      </c>
      <c r="J15" s="45">
        <f t="shared" si="5"/>
        <v>116.66666666666669</v>
      </c>
      <c r="K15" s="16">
        <f>1800+840</f>
        <v>2640</v>
      </c>
      <c r="L15" s="45">
        <f t="shared" si="6"/>
        <v>2200</v>
      </c>
      <c r="M15" s="45">
        <f t="shared" si="7"/>
        <v>440</v>
      </c>
      <c r="N15" s="16">
        <f>10460+2685</f>
        <v>13145</v>
      </c>
      <c r="O15" s="16">
        <f>29280-3760+24585</f>
        <v>50105</v>
      </c>
      <c r="P15" s="16">
        <v>3760</v>
      </c>
      <c r="Q15" s="45">
        <v>0</v>
      </c>
      <c r="R15" s="45">
        <f>2865+10220+24000</f>
        <v>37085</v>
      </c>
      <c r="S15" s="44"/>
    </row>
    <row r="16" spans="1:19" x14ac:dyDescent="0.3">
      <c r="A16" s="42">
        <v>46008</v>
      </c>
      <c r="B16" s="16">
        <f>27225+54170</f>
        <v>81395</v>
      </c>
      <c r="C16" s="45">
        <f t="shared" si="0"/>
        <v>73995.454545454544</v>
      </c>
      <c r="D16" s="45">
        <f t="shared" si="1"/>
        <v>7399.545454545454</v>
      </c>
      <c r="E16" s="16">
        <f>1415+5170</f>
        <v>6585</v>
      </c>
      <c r="F16" s="45">
        <f t="shared" si="2"/>
        <v>5986.363636363636</v>
      </c>
      <c r="G16" s="45">
        <f t="shared" si="3"/>
        <v>598.63636363636363</v>
      </c>
      <c r="H16" s="16">
        <f>300+600</f>
        <v>900</v>
      </c>
      <c r="I16" s="45">
        <f t="shared" si="4"/>
        <v>750</v>
      </c>
      <c r="J16" s="45">
        <f t="shared" si="5"/>
        <v>150</v>
      </c>
      <c r="K16" s="16">
        <f>1920+2880</f>
        <v>4800</v>
      </c>
      <c r="L16" s="45">
        <f t="shared" si="6"/>
        <v>4000</v>
      </c>
      <c r="M16" s="45">
        <f t="shared" si="7"/>
        <v>800</v>
      </c>
      <c r="N16" s="16">
        <f>3760</f>
        <v>3760</v>
      </c>
      <c r="O16" s="16">
        <f>30860+59060</f>
        <v>89920</v>
      </c>
      <c r="P16" s="45">
        <v>0</v>
      </c>
      <c r="Q16" s="45">
        <v>0</v>
      </c>
      <c r="R16" s="45">
        <v>6495</v>
      </c>
      <c r="S16" s="44"/>
    </row>
    <row r="17" spans="1:19" x14ac:dyDescent="0.3">
      <c r="A17" s="42">
        <v>46009</v>
      </c>
      <c r="B17" s="16">
        <f>24255+38655</f>
        <v>62910</v>
      </c>
      <c r="C17" s="45">
        <f t="shared" si="0"/>
        <v>57190.909090909088</v>
      </c>
      <c r="D17" s="45">
        <f t="shared" si="1"/>
        <v>5719.0909090909081</v>
      </c>
      <c r="E17" s="16">
        <f>4190+2530</f>
        <v>6720</v>
      </c>
      <c r="F17" s="45">
        <f t="shared" si="2"/>
        <v>6109.090909090909</v>
      </c>
      <c r="G17" s="45">
        <f t="shared" si="3"/>
        <v>610.90909090909088</v>
      </c>
      <c r="H17" s="45">
        <v>0</v>
      </c>
      <c r="I17" s="45">
        <f t="shared" si="4"/>
        <v>0</v>
      </c>
      <c r="J17" s="45">
        <f t="shared" si="5"/>
        <v>0</v>
      </c>
      <c r="K17" s="16">
        <f>1320+1680</f>
        <v>3000</v>
      </c>
      <c r="L17" s="45">
        <f t="shared" si="6"/>
        <v>2500</v>
      </c>
      <c r="M17" s="45">
        <f t="shared" si="7"/>
        <v>500</v>
      </c>
      <c r="N17" s="16">
        <f>5555+3090</f>
        <v>8645</v>
      </c>
      <c r="O17" s="16">
        <f>24210-2460+39775-13805</f>
        <v>47720</v>
      </c>
      <c r="P17" s="16">
        <f>2460+13805</f>
        <v>16265</v>
      </c>
      <c r="Q17" s="45">
        <v>0</v>
      </c>
      <c r="R17" s="45">
        <v>9255</v>
      </c>
      <c r="S17" s="44"/>
    </row>
    <row r="18" spans="1:19" x14ac:dyDescent="0.3">
      <c r="A18" s="42">
        <v>46010</v>
      </c>
      <c r="B18" s="16">
        <f>43215+61450</f>
        <v>104665</v>
      </c>
      <c r="C18" s="45">
        <f t="shared" si="0"/>
        <v>95149.999999999985</v>
      </c>
      <c r="D18" s="45">
        <f t="shared" si="1"/>
        <v>9514.9999999999982</v>
      </c>
      <c r="E18" s="16">
        <f>3070+2970</f>
        <v>6040</v>
      </c>
      <c r="F18" s="45">
        <f t="shared" si="2"/>
        <v>5490.9090909090901</v>
      </c>
      <c r="G18" s="45">
        <f t="shared" si="3"/>
        <v>549.09090909090901</v>
      </c>
      <c r="H18" s="45">
        <v>0</v>
      </c>
      <c r="I18" s="45">
        <f t="shared" si="4"/>
        <v>0</v>
      </c>
      <c r="J18" s="45">
        <f t="shared" si="5"/>
        <v>0</v>
      </c>
      <c r="K18" s="16">
        <f>2520+2640</f>
        <v>5160</v>
      </c>
      <c r="L18" s="45">
        <f t="shared" si="6"/>
        <v>4300</v>
      </c>
      <c r="M18" s="45">
        <f t="shared" si="7"/>
        <v>860</v>
      </c>
      <c r="N18" s="16">
        <f>3327.5+7130</f>
        <v>10457.5</v>
      </c>
      <c r="O18" s="16">
        <f>45477.5+59930-2685</f>
        <v>102722.5</v>
      </c>
      <c r="P18" s="16">
        <v>2685</v>
      </c>
      <c r="Q18" s="45">
        <v>0</v>
      </c>
      <c r="R18" s="45">
        <v>12500</v>
      </c>
      <c r="S18" s="44"/>
    </row>
    <row r="19" spans="1:19" x14ac:dyDescent="0.3">
      <c r="A19" s="42">
        <v>46011</v>
      </c>
      <c r="B19" s="16">
        <f>90412.5+66480</f>
        <v>156892.5</v>
      </c>
      <c r="C19" s="45">
        <f t="shared" si="0"/>
        <v>142629.54545454544</v>
      </c>
      <c r="D19" s="45">
        <f t="shared" si="1"/>
        <v>14262.954545454544</v>
      </c>
      <c r="E19" s="16">
        <f>10302.5+5345</f>
        <v>15647.5</v>
      </c>
      <c r="F19" s="45">
        <f t="shared" si="2"/>
        <v>14224.999999999998</v>
      </c>
      <c r="G19" s="45">
        <f t="shared" si="3"/>
        <v>1422.4999999999998</v>
      </c>
      <c r="H19" s="45">
        <v>0</v>
      </c>
      <c r="I19" s="45">
        <f t="shared" si="4"/>
        <v>0</v>
      </c>
      <c r="J19" s="45">
        <f t="shared" si="5"/>
        <v>0</v>
      </c>
      <c r="K19" s="16">
        <f>2160+3000</f>
        <v>5160</v>
      </c>
      <c r="L19" s="45">
        <f t="shared" si="6"/>
        <v>4300</v>
      </c>
      <c r="M19" s="45">
        <f t="shared" si="7"/>
        <v>860</v>
      </c>
      <c r="N19" s="16">
        <f>2420+175</f>
        <v>2595</v>
      </c>
      <c r="O19" s="16">
        <f>100455-5695+74650</f>
        <v>169410</v>
      </c>
      <c r="P19" s="16">
        <v>5695</v>
      </c>
      <c r="Q19" s="45">
        <v>0</v>
      </c>
      <c r="R19" s="45">
        <f>10385+22155</f>
        <v>32540</v>
      </c>
      <c r="S19" s="44"/>
    </row>
    <row r="20" spans="1:19" x14ac:dyDescent="0.3">
      <c r="A20" s="42">
        <v>46012</v>
      </c>
      <c r="B20" s="16">
        <f>105565+76265</f>
        <v>181830</v>
      </c>
      <c r="C20" s="45">
        <f t="shared" si="0"/>
        <v>165300</v>
      </c>
      <c r="D20" s="45">
        <f t="shared" si="1"/>
        <v>16530</v>
      </c>
      <c r="E20" s="16">
        <f>11760+6815</f>
        <v>18575</v>
      </c>
      <c r="F20" s="45">
        <f t="shared" si="2"/>
        <v>16886.363636363636</v>
      </c>
      <c r="G20" s="45">
        <f t="shared" si="3"/>
        <v>1688.6363636363635</v>
      </c>
      <c r="H20" s="45">
        <v>0</v>
      </c>
      <c r="I20" s="45">
        <f t="shared" si="4"/>
        <v>0</v>
      </c>
      <c r="J20" s="45">
        <f t="shared" si="5"/>
        <v>0</v>
      </c>
      <c r="K20" s="16">
        <f>2640+2640</f>
        <v>5280</v>
      </c>
      <c r="L20" s="45">
        <f t="shared" si="6"/>
        <v>4400</v>
      </c>
      <c r="M20" s="45">
        <f t="shared" si="7"/>
        <v>880</v>
      </c>
      <c r="N20" s="16">
        <f>8851+6115</f>
        <v>14966</v>
      </c>
      <c r="O20" s="16">
        <f>111114-6132+79605-4095</f>
        <v>180492</v>
      </c>
      <c r="P20" s="16">
        <f>6132+4095</f>
        <v>10227</v>
      </c>
      <c r="Q20" s="45">
        <v>1790</v>
      </c>
      <c r="R20" s="45">
        <f>3750+10085</f>
        <v>13835</v>
      </c>
      <c r="S20" s="44"/>
    </row>
    <row r="21" spans="1:19" x14ac:dyDescent="0.3">
      <c r="A21" s="42">
        <v>46014</v>
      </c>
      <c r="B21" s="16">
        <f>50132.5+27017.5</f>
        <v>77150</v>
      </c>
      <c r="C21" s="45">
        <f t="shared" si="0"/>
        <v>70136.363636363632</v>
      </c>
      <c r="D21" s="45">
        <f t="shared" si="1"/>
        <v>7013.636363636364</v>
      </c>
      <c r="E21" s="16">
        <f>6630+1730</f>
        <v>8360</v>
      </c>
      <c r="F21" s="45">
        <f t="shared" si="2"/>
        <v>7599.9999999999991</v>
      </c>
      <c r="G21" s="45">
        <f t="shared" si="3"/>
        <v>759.99999999999989</v>
      </c>
      <c r="H21" s="16">
        <v>1200</v>
      </c>
      <c r="I21" s="45">
        <f t="shared" si="4"/>
        <v>1000</v>
      </c>
      <c r="J21" s="45">
        <f t="shared" si="5"/>
        <v>200</v>
      </c>
      <c r="K21" s="16">
        <f>2400+1560</f>
        <v>3960</v>
      </c>
      <c r="L21" s="45">
        <f t="shared" si="6"/>
        <v>3300</v>
      </c>
      <c r="M21" s="45">
        <f t="shared" si="7"/>
        <v>660</v>
      </c>
      <c r="N21" s="16">
        <f>17330+1790</f>
        <v>19120</v>
      </c>
      <c r="O21" s="16">
        <f>43032.5-4137.5+28517.5</f>
        <v>67412.5</v>
      </c>
      <c r="P21" s="16">
        <v>4137.5</v>
      </c>
      <c r="Q21" s="45">
        <v>0</v>
      </c>
      <c r="R21" s="45">
        <v>11345</v>
      </c>
      <c r="S21" s="44"/>
    </row>
    <row r="22" spans="1:19" x14ac:dyDescent="0.3">
      <c r="A22" s="42">
        <v>46015</v>
      </c>
      <c r="B22" s="16">
        <f>7670+43035</f>
        <v>50705</v>
      </c>
      <c r="C22" s="45">
        <f t="shared" si="0"/>
        <v>46095.454545454544</v>
      </c>
      <c r="D22" s="45">
        <f t="shared" si="1"/>
        <v>4609.545454545454</v>
      </c>
      <c r="E22" s="16">
        <f>5795+775</f>
        <v>6570</v>
      </c>
      <c r="F22" s="45">
        <f t="shared" si="2"/>
        <v>5972.7272727272721</v>
      </c>
      <c r="G22" s="45">
        <f t="shared" si="3"/>
        <v>597.27272727272725</v>
      </c>
      <c r="H22" s="45">
        <v>0</v>
      </c>
      <c r="I22" s="45">
        <f t="shared" si="4"/>
        <v>0</v>
      </c>
      <c r="J22" s="45">
        <f t="shared" si="5"/>
        <v>0</v>
      </c>
      <c r="K22" s="16">
        <f>1680+840</f>
        <v>2520</v>
      </c>
      <c r="L22" s="45">
        <f t="shared" si="6"/>
        <v>2100</v>
      </c>
      <c r="M22" s="45">
        <f t="shared" si="7"/>
        <v>420</v>
      </c>
      <c r="N22" s="16">
        <f>3850</f>
        <v>3850</v>
      </c>
      <c r="O22" s="16">
        <f>46660+9285</f>
        <v>55945</v>
      </c>
      <c r="P22" s="45">
        <v>0</v>
      </c>
      <c r="Q22" s="45">
        <v>0</v>
      </c>
      <c r="R22" s="45">
        <v>9530</v>
      </c>
      <c r="S22" s="44"/>
    </row>
    <row r="23" spans="1:19" ht="15" customHeight="1" x14ac:dyDescent="0.3">
      <c r="A23" s="42">
        <v>46016</v>
      </c>
      <c r="B23" s="16">
        <f>31250+25791</f>
        <v>57041</v>
      </c>
      <c r="C23" s="45">
        <f t="shared" si="0"/>
        <v>51855.454545454544</v>
      </c>
      <c r="D23" s="45">
        <f t="shared" si="1"/>
        <v>5185.545454545454</v>
      </c>
      <c r="E23" s="16">
        <f>4225+1150</f>
        <v>5375</v>
      </c>
      <c r="F23" s="45">
        <f t="shared" si="2"/>
        <v>4886.363636363636</v>
      </c>
      <c r="G23" s="45">
        <f t="shared" si="3"/>
        <v>488.63636363636363</v>
      </c>
      <c r="H23" s="16">
        <v>960</v>
      </c>
      <c r="I23" s="45">
        <f t="shared" si="4"/>
        <v>800</v>
      </c>
      <c r="J23" s="45">
        <f t="shared" si="5"/>
        <v>160</v>
      </c>
      <c r="K23" s="16">
        <f>1200+1752</f>
        <v>2952</v>
      </c>
      <c r="L23" s="45">
        <f t="shared" si="6"/>
        <v>2460</v>
      </c>
      <c r="M23" s="45">
        <f t="shared" si="7"/>
        <v>492</v>
      </c>
      <c r="N23" s="16">
        <f>3090</f>
        <v>3090</v>
      </c>
      <c r="O23" s="16">
        <f>33585-10040+29653-3135</f>
        <v>50063</v>
      </c>
      <c r="P23" s="16">
        <f>10040+3135</f>
        <v>13175</v>
      </c>
      <c r="Q23" s="45">
        <v>0</v>
      </c>
      <c r="R23" s="45">
        <v>10040</v>
      </c>
      <c r="S23" s="44"/>
    </row>
    <row r="24" spans="1:19" x14ac:dyDescent="0.3">
      <c r="A24" s="42">
        <v>46017</v>
      </c>
      <c r="B24" s="16">
        <f>44765+46852.5</f>
        <v>91617.5</v>
      </c>
      <c r="C24" s="45">
        <f t="shared" si="0"/>
        <v>83288.636363636353</v>
      </c>
      <c r="D24" s="45">
        <f t="shared" si="1"/>
        <v>8328.863636363636</v>
      </c>
      <c r="E24" s="16">
        <f>4400+4580</f>
        <v>8980</v>
      </c>
      <c r="F24" s="45">
        <f t="shared" si="2"/>
        <v>8163.6363636363631</v>
      </c>
      <c r="G24" s="45">
        <f t="shared" si="3"/>
        <v>816.36363636363637</v>
      </c>
      <c r="H24" s="16">
        <f>275+700</f>
        <v>975</v>
      </c>
      <c r="I24" s="45">
        <f t="shared" si="4"/>
        <v>812.5</v>
      </c>
      <c r="J24" s="45">
        <f t="shared" si="5"/>
        <v>162.5</v>
      </c>
      <c r="K24" s="16">
        <f>2640+3480</f>
        <v>6120</v>
      </c>
      <c r="L24" s="45">
        <f t="shared" si="6"/>
        <v>5100</v>
      </c>
      <c r="M24" s="45">
        <f t="shared" si="7"/>
        <v>1020</v>
      </c>
      <c r="N24" s="16">
        <f>7800+5155</f>
        <v>12955</v>
      </c>
      <c r="O24" s="16">
        <f>44280-15522.5+50457.5</f>
        <v>79215</v>
      </c>
      <c r="P24" s="16">
        <v>15522.5</v>
      </c>
      <c r="Q24" s="45">
        <v>0</v>
      </c>
      <c r="R24" s="45">
        <v>13427.5</v>
      </c>
      <c r="S24" s="44"/>
    </row>
    <row r="25" spans="1:19" x14ac:dyDescent="0.3">
      <c r="A25" s="42">
        <v>46018</v>
      </c>
      <c r="B25" s="16">
        <f>74095+69955</f>
        <v>144050</v>
      </c>
      <c r="C25" s="45">
        <f t="shared" si="0"/>
        <v>130954.54545454544</v>
      </c>
      <c r="D25" s="45">
        <f t="shared" si="1"/>
        <v>13095.454545454544</v>
      </c>
      <c r="E25" s="16">
        <f>5610+4325</f>
        <v>9935</v>
      </c>
      <c r="F25" s="45">
        <f t="shared" si="2"/>
        <v>9031.818181818182</v>
      </c>
      <c r="G25" s="45">
        <f t="shared" si="3"/>
        <v>903.18181818181824</v>
      </c>
      <c r="H25" s="45">
        <v>0</v>
      </c>
      <c r="I25" s="45">
        <f t="shared" si="4"/>
        <v>0</v>
      </c>
      <c r="J25" s="45">
        <f t="shared" si="5"/>
        <v>0</v>
      </c>
      <c r="K25" s="16">
        <f>3120+3360</f>
        <v>6480</v>
      </c>
      <c r="L25" s="45">
        <f t="shared" si="6"/>
        <v>5400</v>
      </c>
      <c r="M25" s="45">
        <f t="shared" si="7"/>
        <v>1080</v>
      </c>
      <c r="N25" s="16">
        <f>4680+11220</f>
        <v>15900</v>
      </c>
      <c r="O25" s="16">
        <f>78145-1030+66420-895</f>
        <v>142640</v>
      </c>
      <c r="P25" s="16">
        <f>1030+895</f>
        <v>1925</v>
      </c>
      <c r="Q25" s="45">
        <v>0</v>
      </c>
      <c r="R25" s="45">
        <v>2850</v>
      </c>
      <c r="S25" s="44"/>
    </row>
    <row r="26" spans="1:19" x14ac:dyDescent="0.3">
      <c r="A26" s="42">
        <v>46019</v>
      </c>
      <c r="B26" s="16">
        <f>55814+94170</f>
        <v>149984</v>
      </c>
      <c r="C26" s="45">
        <f>B26/1.1</f>
        <v>136349.09090909091</v>
      </c>
      <c r="D26" s="45">
        <f t="shared" si="1"/>
        <v>13634.909090909092</v>
      </c>
      <c r="E26" s="16">
        <f>4977+14535</f>
        <v>19512</v>
      </c>
      <c r="F26" s="45">
        <f t="shared" si="2"/>
        <v>17738.181818181816</v>
      </c>
      <c r="G26" s="45">
        <f t="shared" si="3"/>
        <v>1773.8181818181818</v>
      </c>
      <c r="H26" s="16">
        <v>200</v>
      </c>
      <c r="I26" s="45">
        <f t="shared" si="4"/>
        <v>166.66666666666669</v>
      </c>
      <c r="J26" s="45">
        <f t="shared" si="5"/>
        <v>33.333333333333343</v>
      </c>
      <c r="K26" s="16">
        <f>840+2760</f>
        <v>3600</v>
      </c>
      <c r="L26" s="45">
        <f t="shared" si="6"/>
        <v>3000</v>
      </c>
      <c r="M26" s="45">
        <f t="shared" si="7"/>
        <v>600</v>
      </c>
      <c r="N26" s="16">
        <f>4105+11815</f>
        <v>15920</v>
      </c>
      <c r="O26" s="16">
        <f>57526+99850-5339-2452</f>
        <v>149585</v>
      </c>
      <c r="P26" s="16">
        <f>5339+2452</f>
        <v>7791</v>
      </c>
      <c r="Q26" s="45">
        <v>1700</v>
      </c>
      <c r="R26" s="45">
        <f>1790+11805</f>
        <v>13595</v>
      </c>
      <c r="S26" s="44"/>
    </row>
    <row r="27" spans="1:19" x14ac:dyDescent="0.3">
      <c r="A27" s="42">
        <v>46021</v>
      </c>
      <c r="B27" s="16">
        <f>26565+32500</f>
        <v>59065</v>
      </c>
      <c r="C27" s="45">
        <f t="shared" ref="C27:C28" si="8">B27/1.1</f>
        <v>53695.454545454544</v>
      </c>
      <c r="D27" s="45">
        <f t="shared" si="1"/>
        <v>5369.545454545454</v>
      </c>
      <c r="E27" s="16">
        <f>2325+3330</f>
        <v>5655</v>
      </c>
      <c r="F27" s="45">
        <f t="shared" si="2"/>
        <v>5140.9090909090901</v>
      </c>
      <c r="G27" s="45">
        <f t="shared" si="3"/>
        <v>514.09090909090901</v>
      </c>
      <c r="H27" s="45">
        <f>0</f>
        <v>0</v>
      </c>
      <c r="I27" s="45">
        <f t="shared" si="4"/>
        <v>0</v>
      </c>
      <c r="J27" s="45">
        <f t="shared" si="5"/>
        <v>0</v>
      </c>
      <c r="K27" s="16">
        <f>600+1560</f>
        <v>2160</v>
      </c>
      <c r="L27" s="45">
        <f t="shared" si="6"/>
        <v>1800</v>
      </c>
      <c r="M27" s="45">
        <f t="shared" si="7"/>
        <v>360</v>
      </c>
      <c r="N27" s="16">
        <f>5545</f>
        <v>5545</v>
      </c>
      <c r="O27" s="16">
        <f>29490+31845-5215</f>
        <v>56120</v>
      </c>
      <c r="P27" s="16">
        <v>5215</v>
      </c>
      <c r="Q27" s="45"/>
      <c r="R27" s="45"/>
      <c r="S27" s="44"/>
    </row>
    <row r="28" spans="1:19" x14ac:dyDescent="0.3">
      <c r="A28" s="42">
        <v>46022</v>
      </c>
      <c r="B28" s="16">
        <f>56755+40480</f>
        <v>97235</v>
      </c>
      <c r="C28" s="45">
        <f t="shared" si="8"/>
        <v>88395.454545454544</v>
      </c>
      <c r="D28" s="45">
        <f t="shared" si="1"/>
        <v>8839.545454545454</v>
      </c>
      <c r="E28" s="16">
        <f>1735+830</f>
        <v>2565</v>
      </c>
      <c r="F28" s="45">
        <f t="shared" si="2"/>
        <v>2331.8181818181815</v>
      </c>
      <c r="G28" s="45">
        <f t="shared" si="3"/>
        <v>233.18181818181816</v>
      </c>
      <c r="H28" s="45">
        <v>0</v>
      </c>
      <c r="I28" s="45">
        <f t="shared" si="4"/>
        <v>0</v>
      </c>
      <c r="J28" s="45">
        <f t="shared" si="5"/>
        <v>0</v>
      </c>
      <c r="K28" s="45">
        <v>0</v>
      </c>
      <c r="L28" s="45">
        <f t="shared" si="6"/>
        <v>0</v>
      </c>
      <c r="M28" s="45">
        <f t="shared" si="7"/>
        <v>0</v>
      </c>
      <c r="N28" s="16">
        <f>12120+520</f>
        <v>12640</v>
      </c>
      <c r="O28" s="16">
        <f>46370-2885+40790</f>
        <v>84275</v>
      </c>
      <c r="P28" s="16">
        <v>2885</v>
      </c>
      <c r="Q28" s="45">
        <v>0</v>
      </c>
      <c r="R28" s="45">
        <v>14290</v>
      </c>
      <c r="S28" s="44"/>
    </row>
    <row r="29" spans="1:19" ht="15.6" x14ac:dyDescent="0.3">
      <c r="B29" s="48">
        <f>SUM(B3:B28)</f>
        <v>2575687.75</v>
      </c>
      <c r="C29" s="48"/>
      <c r="D29" s="48"/>
      <c r="E29" s="48">
        <f>SUM(E3:E28)</f>
        <v>233881</v>
      </c>
      <c r="F29" s="48"/>
      <c r="G29" s="48"/>
      <c r="H29" s="48">
        <f>SUM(H3:H28)</f>
        <v>11700</v>
      </c>
      <c r="I29" s="48"/>
      <c r="J29" s="48"/>
      <c r="K29" s="48">
        <f>SUM(K3:K28)</f>
        <v>96708</v>
      </c>
      <c r="L29" s="48"/>
      <c r="M29" s="48"/>
      <c r="N29" s="48">
        <f>SUM(N3:N28)</f>
        <v>251907.5</v>
      </c>
      <c r="O29" s="48">
        <f>SUM(O3:O28)</f>
        <v>2471765.5</v>
      </c>
      <c r="P29" s="48">
        <f>SUM(P3:P28)</f>
        <v>194303.75</v>
      </c>
      <c r="Q29" s="48">
        <f>SUM(Q3:Q28)</f>
        <v>8363</v>
      </c>
      <c r="R29" s="48">
        <f>SUM(R3:R28)</f>
        <v>332844.5</v>
      </c>
      <c r="S29" s="49"/>
    </row>
    <row r="34" spans="1:11" x14ac:dyDescent="0.3">
      <c r="F34" s="41" t="s">
        <v>88</v>
      </c>
      <c r="G34" s="41" t="s">
        <v>89</v>
      </c>
      <c r="H34" s="41" t="s">
        <v>71</v>
      </c>
      <c r="I34" s="41" t="s">
        <v>74</v>
      </c>
      <c r="J34"/>
      <c r="K34" s="18"/>
    </row>
    <row r="35" spans="1:11" x14ac:dyDescent="0.3">
      <c r="A35" s="52">
        <v>0.1</v>
      </c>
      <c r="B35" s="18">
        <v>1198203.25</v>
      </c>
      <c r="C35" s="18">
        <v>1611365.5</v>
      </c>
      <c r="D35" s="18">
        <f>SUM(B35:C35)</f>
        <v>2809568.75</v>
      </c>
      <c r="E35"/>
      <c r="F35" s="18">
        <f>B29+E29</f>
        <v>2809568.75</v>
      </c>
      <c r="G35" s="18">
        <f>D35-F35</f>
        <v>0</v>
      </c>
      <c r="H35" s="18">
        <v>2879573.84</v>
      </c>
      <c r="I35" s="18">
        <f>H35*10/100</f>
        <v>287957.38399999996</v>
      </c>
      <c r="J35"/>
      <c r="K35"/>
    </row>
    <row r="36" spans="1:11" x14ac:dyDescent="0.3">
      <c r="A36" s="52">
        <v>0.2</v>
      </c>
      <c r="B36" s="18">
        <v>44716</v>
      </c>
      <c r="C36" s="18">
        <v>63692</v>
      </c>
      <c r="D36" s="18">
        <f t="shared" ref="D36:D42" si="9">SUM(B36:C36)</f>
        <v>108408</v>
      </c>
      <c r="E36" s="18"/>
      <c r="F36" s="18">
        <f>H29+K29</f>
        <v>108408</v>
      </c>
      <c r="G36" s="57">
        <f t="shared" ref="G36:G42" si="10">D36-F36</f>
        <v>0</v>
      </c>
      <c r="H36" s="18">
        <v>109859.99</v>
      </c>
      <c r="I36" s="18">
        <f>H36*20/100</f>
        <v>21971.998000000003</v>
      </c>
      <c r="J36"/>
      <c r="K36" s="18"/>
    </row>
    <row r="37" spans="1:11" x14ac:dyDescent="0.3">
      <c r="A37" s="53" t="s">
        <v>73</v>
      </c>
      <c r="B37" s="20">
        <f>SUM(B35:B36)</f>
        <v>1242919.25</v>
      </c>
      <c r="C37" s="20">
        <f>SUM(C35:C36)</f>
        <v>1675057.5</v>
      </c>
      <c r="D37" s="20">
        <f t="shared" si="9"/>
        <v>2917976.75</v>
      </c>
      <c r="E37" s="18"/>
      <c r="F37" s="20">
        <f>SUM(F35:F36)</f>
        <v>2917976.75</v>
      </c>
      <c r="G37" s="18">
        <f t="shared" si="10"/>
        <v>0</v>
      </c>
      <c r="H37" s="18">
        <f>SUM(H35:H36)</f>
        <v>2989433.83</v>
      </c>
      <c r="I37" s="18">
        <f>SUM(I35:I36)</f>
        <v>309929.38199999998</v>
      </c>
      <c r="J37" s="18">
        <f>H37+I37</f>
        <v>3299363.2120000003</v>
      </c>
      <c r="K37" s="18" t="s">
        <v>75</v>
      </c>
    </row>
    <row r="38" spans="1:11" x14ac:dyDescent="0.3">
      <c r="A38" s="4" t="s">
        <v>76</v>
      </c>
      <c r="B38" s="18">
        <v>83527</v>
      </c>
      <c r="C38" s="18">
        <v>190130.5</v>
      </c>
      <c r="D38" s="18">
        <f t="shared" si="9"/>
        <v>273657.5</v>
      </c>
      <c r="E38"/>
      <c r="F38" s="18">
        <f>N29+Q29</f>
        <v>260270.5</v>
      </c>
      <c r="G38" s="18">
        <f t="shared" si="10"/>
        <v>13387</v>
      </c>
      <c r="H38" s="18"/>
      <c r="I38"/>
      <c r="J38" s="18">
        <f>F37</f>
        <v>2917976.75</v>
      </c>
      <c r="K38" t="s">
        <v>77</v>
      </c>
    </row>
    <row r="39" spans="1:11" x14ac:dyDescent="0.3">
      <c r="A39" s="4" t="s">
        <v>78</v>
      </c>
      <c r="B39" s="18">
        <v>1284179.75</v>
      </c>
      <c r="C39" s="18">
        <v>1701347</v>
      </c>
      <c r="D39" s="18">
        <f t="shared" si="9"/>
        <v>2985526.75</v>
      </c>
      <c r="E39"/>
      <c r="F39" s="18">
        <f>O29+P29+R29</f>
        <v>2998913.75</v>
      </c>
      <c r="G39" s="18">
        <f t="shared" si="10"/>
        <v>-13387</v>
      </c>
      <c r="H39" s="18"/>
      <c r="I39"/>
      <c r="J39" s="18">
        <f>Q29+R29-30000</f>
        <v>311207.5</v>
      </c>
      <c r="K39" t="s">
        <v>79</v>
      </c>
    </row>
    <row r="40" spans="1:11" x14ac:dyDescent="0.3">
      <c r="A40" s="53" t="s">
        <v>73</v>
      </c>
      <c r="B40" s="20">
        <f>SUM(B38:B39)</f>
        <v>1367706.75</v>
      </c>
      <c r="C40" s="20">
        <f>SUM(C38:C39)</f>
        <v>1891477.5</v>
      </c>
      <c r="D40" s="20">
        <f t="shared" si="9"/>
        <v>3259184.25</v>
      </c>
      <c r="E40" s="20"/>
      <c r="F40" s="20">
        <f>SUM(F38:F39)</f>
        <v>3259184.25</v>
      </c>
      <c r="G40" s="18">
        <f t="shared" si="10"/>
        <v>0</v>
      </c>
      <c r="H40" s="18"/>
      <c r="I40"/>
      <c r="J40" s="18">
        <f>J37-J38-J39</f>
        <v>70178.962000000291</v>
      </c>
      <c r="K40"/>
    </row>
    <row r="41" spans="1:11" x14ac:dyDescent="0.3">
      <c r="A41" s="54" t="s">
        <v>80</v>
      </c>
      <c r="B41" s="55">
        <f>B40-B37</f>
        <v>124787.5</v>
      </c>
      <c r="C41" s="55">
        <f t="shared" ref="C41:D41" si="11">C40-C37</f>
        <v>216420</v>
      </c>
      <c r="D41" s="55">
        <f t="shared" si="11"/>
        <v>341207.5</v>
      </c>
      <c r="E41" s="23"/>
      <c r="F41"/>
      <c r="G41" s="18"/>
      <c r="H41" s="18"/>
      <c r="I41"/>
      <c r="J41" s="18">
        <f>57990+8064</f>
        <v>66054</v>
      </c>
      <c r="K41" t="s">
        <v>81</v>
      </c>
    </row>
    <row r="42" spans="1:11" x14ac:dyDescent="0.3">
      <c r="A42" s="56" t="s">
        <v>82</v>
      </c>
      <c r="B42" s="57">
        <v>124787.5</v>
      </c>
      <c r="C42" s="57">
        <v>216420</v>
      </c>
      <c r="D42" s="57">
        <f t="shared" si="9"/>
        <v>341207.5</v>
      </c>
      <c r="E42" s="23"/>
      <c r="F42" s="20">
        <f>Q29+R29</f>
        <v>341207.5</v>
      </c>
      <c r="G42" s="18">
        <f t="shared" si="10"/>
        <v>0</v>
      </c>
      <c r="H42" s="18"/>
      <c r="I42"/>
      <c r="J42" s="55">
        <v>4125</v>
      </c>
      <c r="K42" s="58" t="s">
        <v>95</v>
      </c>
    </row>
    <row r="43" spans="1:11" x14ac:dyDescent="0.3">
      <c r="A43" s="4"/>
      <c r="B43"/>
      <c r="C43"/>
      <c r="D43"/>
      <c r="E43"/>
      <c r="F43" s="18"/>
      <c r="G43"/>
      <c r="H43"/>
      <c r="I43"/>
      <c r="J43" s="55">
        <f>J40-J41-J42</f>
        <v>-3.7999999709427357E-2</v>
      </c>
      <c r="K43"/>
    </row>
    <row r="44" spans="1:11" x14ac:dyDescent="0.3">
      <c r="A44" s="4"/>
      <c r="B44"/>
      <c r="C44"/>
      <c r="D44"/>
      <c r="E44"/>
      <c r="F44"/>
      <c r="G44"/>
      <c r="H44"/>
      <c r="I44"/>
      <c r="J44"/>
      <c r="K44"/>
    </row>
  </sheetData>
  <mergeCells count="1">
    <mergeCell ref="Q1:R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workbookViewId="0">
      <selection activeCell="C16" sqref="C16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31.3320312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65" t="s">
        <v>8</v>
      </c>
      <c r="R1" s="65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45689</v>
      </c>
      <c r="B3" s="16">
        <f>105590+103715</f>
        <v>209305</v>
      </c>
      <c r="C3" s="11">
        <f>B3/1.1</f>
        <v>190277.27272727271</v>
      </c>
      <c r="D3" s="11">
        <f>C3*10/100</f>
        <v>19027.727272727272</v>
      </c>
      <c r="E3" s="16">
        <f>3710+5105</f>
        <v>8815</v>
      </c>
      <c r="F3" s="11">
        <f>E3/1.1</f>
        <v>8013.6363636363631</v>
      </c>
      <c r="G3" s="11">
        <f>F3*10/100</f>
        <v>801.36363636363637</v>
      </c>
      <c r="H3" s="16">
        <v>1050</v>
      </c>
      <c r="I3" s="11">
        <f>H3/1.2</f>
        <v>875</v>
      </c>
      <c r="J3" s="11">
        <f>I3*20/100</f>
        <v>175</v>
      </c>
      <c r="K3" s="16">
        <f>3280+4720</f>
        <v>8000</v>
      </c>
      <c r="L3" s="11">
        <f>K3/1.2</f>
        <v>6666.666666666667</v>
      </c>
      <c r="M3" s="11">
        <f>L3*20/100</f>
        <v>1333.3333333333335</v>
      </c>
      <c r="N3" s="16">
        <f>9090+5530</f>
        <v>14620</v>
      </c>
      <c r="O3" s="16">
        <f>104540+106220</f>
        <v>210760</v>
      </c>
      <c r="P3" s="16">
        <v>1790</v>
      </c>
      <c r="Q3" s="11">
        <v>0</v>
      </c>
      <c r="R3" s="16">
        <v>3890</v>
      </c>
      <c r="S3" s="12"/>
    </row>
    <row r="4" spans="1:19" x14ac:dyDescent="0.3">
      <c r="A4" s="3">
        <v>45690</v>
      </c>
      <c r="B4" s="16">
        <f>71440.5+120810</f>
        <v>192250.5</v>
      </c>
      <c r="C4" s="11">
        <f t="shared" ref="C4:C26" si="0">B4/1.1</f>
        <v>174773.18181818179</v>
      </c>
      <c r="D4" s="11">
        <f t="shared" ref="D4:D26" si="1">C4*10/100</f>
        <v>17477.31818181818</v>
      </c>
      <c r="E4" s="16">
        <f>6200+11195</f>
        <v>17395</v>
      </c>
      <c r="F4" s="11">
        <f t="shared" ref="F4:F26" si="2">E4/1.1</f>
        <v>15813.636363636362</v>
      </c>
      <c r="G4" s="11">
        <f t="shared" ref="G4:G26" si="3">F4*10/100</f>
        <v>1581.3636363636363</v>
      </c>
      <c r="H4" s="16">
        <v>215</v>
      </c>
      <c r="I4" s="11">
        <f t="shared" ref="I4:I26" si="4">H4/1.2</f>
        <v>179.16666666666669</v>
      </c>
      <c r="J4" s="11">
        <f t="shared" ref="J4:J26" si="5">I4*20/100</f>
        <v>35.833333333333343</v>
      </c>
      <c r="K4" s="16">
        <f>1040+2720</f>
        <v>3760</v>
      </c>
      <c r="L4" s="11">
        <f t="shared" ref="L4:L26" si="6">K4/1.2</f>
        <v>3133.3333333333335</v>
      </c>
      <c r="M4" s="11">
        <f t="shared" ref="M4:M26" si="7">L4*20/100</f>
        <v>626.66666666666674</v>
      </c>
      <c r="N4" s="16">
        <f>3570+9240</f>
        <v>12810</v>
      </c>
      <c r="O4" s="16">
        <f>74430.5+125485</f>
        <v>199915.5</v>
      </c>
      <c r="P4" s="16">
        <v>895</v>
      </c>
      <c r="Q4" s="11">
        <v>0</v>
      </c>
      <c r="R4" s="16">
        <f>2685+10190</f>
        <v>12875</v>
      </c>
      <c r="S4" s="12"/>
    </row>
    <row r="5" spans="1:19" x14ac:dyDescent="0.3">
      <c r="A5" s="3">
        <v>45692</v>
      </c>
      <c r="B5" s="16">
        <f>9225+39725</f>
        <v>48950</v>
      </c>
      <c r="C5" s="11">
        <f t="shared" si="0"/>
        <v>44500</v>
      </c>
      <c r="D5" s="11">
        <f t="shared" si="1"/>
        <v>4450</v>
      </c>
      <c r="E5" s="16">
        <f>520+3325</f>
        <v>3845</v>
      </c>
      <c r="F5" s="11">
        <f t="shared" si="2"/>
        <v>3495.454545454545</v>
      </c>
      <c r="G5" s="11">
        <f t="shared" si="3"/>
        <v>349.5454545454545</v>
      </c>
      <c r="H5" s="11">
        <v>0</v>
      </c>
      <c r="I5" s="11">
        <f t="shared" si="4"/>
        <v>0</v>
      </c>
      <c r="J5" s="11">
        <f t="shared" si="5"/>
        <v>0</v>
      </c>
      <c r="K5" s="16">
        <f>480+1520</f>
        <v>2000</v>
      </c>
      <c r="L5" s="11">
        <f t="shared" si="6"/>
        <v>1666.6666666666667</v>
      </c>
      <c r="M5" s="11">
        <f t="shared" si="7"/>
        <v>333.33333333333337</v>
      </c>
      <c r="N5" s="16">
        <v>2315</v>
      </c>
      <c r="O5" s="16">
        <f>10225+42255</f>
        <v>52480</v>
      </c>
      <c r="P5" s="11">
        <v>0</v>
      </c>
      <c r="Q5" s="11">
        <v>0</v>
      </c>
      <c r="R5" s="16">
        <f>3350+6270</f>
        <v>9620</v>
      </c>
      <c r="S5" s="12"/>
    </row>
    <row r="6" spans="1:19" x14ac:dyDescent="0.3">
      <c r="A6" s="3">
        <v>45693</v>
      </c>
      <c r="B6" s="16">
        <f>13105+60682.93</f>
        <v>73787.929999999993</v>
      </c>
      <c r="C6" s="11">
        <f t="shared" si="0"/>
        <v>67079.936363636356</v>
      </c>
      <c r="D6" s="11">
        <f t="shared" si="1"/>
        <v>6707.9936363636352</v>
      </c>
      <c r="E6" s="16">
        <f>805+2395</f>
        <v>3200</v>
      </c>
      <c r="F6" s="11">
        <f t="shared" si="2"/>
        <v>2909.090909090909</v>
      </c>
      <c r="G6" s="11">
        <f t="shared" si="3"/>
        <v>290.90909090909088</v>
      </c>
      <c r="H6" s="11">
        <v>0</v>
      </c>
      <c r="I6" s="11">
        <f t="shared" si="4"/>
        <v>0</v>
      </c>
      <c r="J6" s="11">
        <f t="shared" si="5"/>
        <v>0</v>
      </c>
      <c r="K6" s="16">
        <f>640+2437.07</f>
        <v>3077.07</v>
      </c>
      <c r="L6" s="11">
        <f t="shared" si="6"/>
        <v>2564.2250000000004</v>
      </c>
      <c r="M6" s="11">
        <f t="shared" si="7"/>
        <v>512.84500000000003</v>
      </c>
      <c r="N6" s="16">
        <f>10350</f>
        <v>10350</v>
      </c>
      <c r="O6" s="16">
        <f>14550+55165</f>
        <v>69715</v>
      </c>
      <c r="P6" s="11">
        <v>0</v>
      </c>
      <c r="Q6" s="11">
        <v>0</v>
      </c>
      <c r="R6" s="11">
        <v>0</v>
      </c>
      <c r="S6" s="19"/>
    </row>
    <row r="7" spans="1:19" x14ac:dyDescent="0.3">
      <c r="A7" s="3">
        <v>45694</v>
      </c>
      <c r="B7" s="16">
        <f>37515+32715</f>
        <v>70230</v>
      </c>
      <c r="C7" s="11">
        <f t="shared" si="0"/>
        <v>63845.454545454537</v>
      </c>
      <c r="D7" s="11">
        <f t="shared" si="1"/>
        <v>6384.545454545454</v>
      </c>
      <c r="E7" s="16">
        <f>1405+260</f>
        <v>1665</v>
      </c>
      <c r="F7" s="11">
        <f t="shared" si="2"/>
        <v>1513.6363636363635</v>
      </c>
      <c r="G7" s="11">
        <f t="shared" si="3"/>
        <v>151.36363636363637</v>
      </c>
      <c r="H7" s="11">
        <v>0</v>
      </c>
      <c r="I7" s="11">
        <f t="shared" si="4"/>
        <v>0</v>
      </c>
      <c r="J7" s="11">
        <f t="shared" si="5"/>
        <v>0</v>
      </c>
      <c r="K7" s="16">
        <f>880+320</f>
        <v>1200</v>
      </c>
      <c r="L7" s="11">
        <f t="shared" si="6"/>
        <v>1000</v>
      </c>
      <c r="M7" s="11">
        <f t="shared" si="7"/>
        <v>200</v>
      </c>
      <c r="N7" s="16">
        <v>1000</v>
      </c>
      <c r="O7" s="16">
        <f>37680+32295</f>
        <v>69975</v>
      </c>
      <c r="P7" s="16">
        <v>2120</v>
      </c>
      <c r="Q7" s="11">
        <v>0</v>
      </c>
      <c r="R7" s="11">
        <v>0</v>
      </c>
      <c r="S7" s="19"/>
    </row>
    <row r="8" spans="1:19" x14ac:dyDescent="0.3">
      <c r="A8" s="3">
        <v>45695</v>
      </c>
      <c r="B8" s="16">
        <f>33325+17965</f>
        <v>51290</v>
      </c>
      <c r="C8" s="11">
        <f t="shared" si="0"/>
        <v>46627.272727272721</v>
      </c>
      <c r="D8" s="11">
        <f t="shared" si="1"/>
        <v>4662.7272727272721</v>
      </c>
      <c r="E8" s="16">
        <f>3500+1530</f>
        <v>5030</v>
      </c>
      <c r="F8" s="11">
        <f t="shared" si="2"/>
        <v>4572.7272727272721</v>
      </c>
      <c r="G8" s="11">
        <f t="shared" si="3"/>
        <v>457.2727272727272</v>
      </c>
      <c r="H8" s="16">
        <v>210</v>
      </c>
      <c r="I8" s="11">
        <f t="shared" si="4"/>
        <v>175</v>
      </c>
      <c r="J8" s="11">
        <f t="shared" si="5"/>
        <v>35</v>
      </c>
      <c r="K8" s="16">
        <f>1360+960</f>
        <v>2320</v>
      </c>
      <c r="L8" s="11">
        <f t="shared" si="6"/>
        <v>1933.3333333333335</v>
      </c>
      <c r="M8" s="11">
        <f t="shared" si="7"/>
        <v>386.66666666666674</v>
      </c>
      <c r="N8" s="16">
        <v>3575</v>
      </c>
      <c r="O8" s="16">
        <f>34820+20455</f>
        <v>55275</v>
      </c>
      <c r="P8" s="11">
        <v>0</v>
      </c>
      <c r="Q8" s="11">
        <v>0</v>
      </c>
      <c r="R8" s="16">
        <v>4660</v>
      </c>
      <c r="S8" s="12"/>
    </row>
    <row r="9" spans="1:19" x14ac:dyDescent="0.3">
      <c r="A9" s="3">
        <v>45696</v>
      </c>
      <c r="B9" s="16">
        <f>61680+82650</f>
        <v>144330</v>
      </c>
      <c r="C9" s="11">
        <f t="shared" si="0"/>
        <v>131209.09090909091</v>
      </c>
      <c r="D9" s="11">
        <f t="shared" si="1"/>
        <v>13120.909090909092</v>
      </c>
      <c r="E9" s="16">
        <f>4400+4810</f>
        <v>9210</v>
      </c>
      <c r="F9" s="11">
        <f t="shared" si="2"/>
        <v>8372.7272727272721</v>
      </c>
      <c r="G9" s="11">
        <f t="shared" si="3"/>
        <v>837.27272727272725</v>
      </c>
      <c r="H9" s="11">
        <v>0</v>
      </c>
      <c r="I9" s="11">
        <f t="shared" si="4"/>
        <v>0</v>
      </c>
      <c r="J9" s="11">
        <f t="shared" si="5"/>
        <v>0</v>
      </c>
      <c r="K9" s="16">
        <f>2640+1920</f>
        <v>4560</v>
      </c>
      <c r="L9" s="11">
        <f t="shared" si="6"/>
        <v>3800</v>
      </c>
      <c r="M9" s="11">
        <f t="shared" si="7"/>
        <v>760</v>
      </c>
      <c r="N9" s="16">
        <v>7280</v>
      </c>
      <c r="O9" s="16">
        <f>61440+89380</f>
        <v>150820</v>
      </c>
      <c r="P9" s="11">
        <v>0</v>
      </c>
      <c r="Q9" s="11">
        <v>0</v>
      </c>
      <c r="R9" s="16">
        <f>27940+11475</f>
        <v>39415</v>
      </c>
      <c r="S9" s="12"/>
    </row>
    <row r="10" spans="1:19" x14ac:dyDescent="0.3">
      <c r="A10" s="3">
        <v>45697</v>
      </c>
      <c r="B10" s="16">
        <f>74400+96115</f>
        <v>170515</v>
      </c>
      <c r="C10" s="11">
        <f t="shared" si="0"/>
        <v>155013.63636363635</v>
      </c>
      <c r="D10" s="11">
        <f t="shared" si="1"/>
        <v>15501.363636363636</v>
      </c>
      <c r="E10" s="16">
        <f>5600+9140</f>
        <v>14740</v>
      </c>
      <c r="F10" s="11">
        <f t="shared" si="2"/>
        <v>13399.999999999998</v>
      </c>
      <c r="G10" s="11">
        <f t="shared" si="3"/>
        <v>1339.9999999999998</v>
      </c>
      <c r="H10" s="16">
        <v>1400</v>
      </c>
      <c r="I10" s="11">
        <f t="shared" si="4"/>
        <v>1166.6666666666667</v>
      </c>
      <c r="J10" s="11">
        <f t="shared" si="5"/>
        <v>233.33333333333337</v>
      </c>
      <c r="K10" s="16">
        <f>1680+2080</f>
        <v>3760</v>
      </c>
      <c r="L10" s="11">
        <f t="shared" si="6"/>
        <v>3133.3333333333335</v>
      </c>
      <c r="M10" s="11">
        <f t="shared" si="7"/>
        <v>626.66666666666674</v>
      </c>
      <c r="N10" s="16">
        <f>490+7450</f>
        <v>7940</v>
      </c>
      <c r="O10" s="16">
        <f>73725+101285</f>
        <v>175010</v>
      </c>
      <c r="P10" s="16">
        <v>7465</v>
      </c>
      <c r="Q10" s="11">
        <v>0</v>
      </c>
      <c r="R10" s="16">
        <v>17610</v>
      </c>
      <c r="S10" s="12" t="s">
        <v>20</v>
      </c>
    </row>
    <row r="11" spans="1:19" x14ac:dyDescent="0.3">
      <c r="A11" s="3">
        <v>45699</v>
      </c>
      <c r="B11" s="16">
        <f>41160+35035</f>
        <v>76195</v>
      </c>
      <c r="C11" s="11">
        <f t="shared" si="0"/>
        <v>69268.181818181809</v>
      </c>
      <c r="D11" s="11">
        <f t="shared" si="1"/>
        <v>6926.8181818181811</v>
      </c>
      <c r="E11" s="16">
        <v>595</v>
      </c>
      <c r="F11" s="11">
        <f t="shared" si="2"/>
        <v>540.90909090909088</v>
      </c>
      <c r="G11" s="11">
        <f t="shared" si="3"/>
        <v>54.090909090909093</v>
      </c>
      <c r="H11" s="16">
        <v>4800</v>
      </c>
      <c r="I11" s="11">
        <f t="shared" si="4"/>
        <v>4000</v>
      </c>
      <c r="J11" s="11">
        <f t="shared" si="5"/>
        <v>800</v>
      </c>
      <c r="K11" s="16">
        <v>880</v>
      </c>
      <c r="L11" s="11">
        <f t="shared" si="6"/>
        <v>733.33333333333337</v>
      </c>
      <c r="M11" s="11">
        <f t="shared" si="7"/>
        <v>146.66666666666669</v>
      </c>
      <c r="N11" s="16">
        <v>1790</v>
      </c>
      <c r="O11" s="16">
        <f>39920+38835</f>
        <v>78755</v>
      </c>
      <c r="P11" s="16">
        <v>1925</v>
      </c>
      <c r="Q11" s="11">
        <v>0</v>
      </c>
      <c r="R11" s="16">
        <v>11490</v>
      </c>
      <c r="S11" s="12"/>
    </row>
    <row r="12" spans="1:19" x14ac:dyDescent="0.3">
      <c r="A12" s="3">
        <v>45700</v>
      </c>
      <c r="B12" s="16">
        <f>44920+20945</f>
        <v>65865</v>
      </c>
      <c r="C12" s="11">
        <f t="shared" si="0"/>
        <v>59877.272727272721</v>
      </c>
      <c r="D12" s="11">
        <f t="shared" si="1"/>
        <v>5987.7272727272721</v>
      </c>
      <c r="E12" s="16">
        <f>3795+1870</f>
        <v>5665</v>
      </c>
      <c r="F12" s="11">
        <f t="shared" si="2"/>
        <v>5150</v>
      </c>
      <c r="G12" s="11">
        <f t="shared" si="3"/>
        <v>515</v>
      </c>
      <c r="H12" s="16">
        <v>560</v>
      </c>
      <c r="I12" s="11">
        <f t="shared" si="4"/>
        <v>466.66666666666669</v>
      </c>
      <c r="J12" s="11">
        <f t="shared" si="5"/>
        <v>93.333333333333343</v>
      </c>
      <c r="K12" s="16">
        <f>1440+1520</f>
        <v>2960</v>
      </c>
      <c r="L12" s="11">
        <f t="shared" si="6"/>
        <v>2466.666666666667</v>
      </c>
      <c r="M12" s="11">
        <f t="shared" si="7"/>
        <v>493.33333333333343</v>
      </c>
      <c r="N12" s="16">
        <f>5610+2035</f>
        <v>7645</v>
      </c>
      <c r="O12" s="16">
        <f>42415+22300</f>
        <v>64715</v>
      </c>
      <c r="P12" s="16">
        <v>2690</v>
      </c>
      <c r="Q12" s="11">
        <v>0</v>
      </c>
      <c r="R12" s="16">
        <v>11020</v>
      </c>
      <c r="S12" s="12"/>
    </row>
    <row r="13" spans="1:19" x14ac:dyDescent="0.3">
      <c r="A13" s="3">
        <v>45701</v>
      </c>
      <c r="B13" s="16">
        <f>51135+30522.5</f>
        <v>81657.5</v>
      </c>
      <c r="C13" s="11">
        <f t="shared" si="0"/>
        <v>74234.090909090897</v>
      </c>
      <c r="D13" s="11">
        <f t="shared" si="1"/>
        <v>7423.4090909090892</v>
      </c>
      <c r="E13" s="16">
        <f>3630+2750</f>
        <v>6380</v>
      </c>
      <c r="F13" s="11">
        <f t="shared" si="2"/>
        <v>5799.9999999999991</v>
      </c>
      <c r="G13" s="11">
        <f t="shared" si="3"/>
        <v>579.99999999999989</v>
      </c>
      <c r="H13" s="11">
        <v>0</v>
      </c>
      <c r="I13" s="11">
        <f t="shared" si="4"/>
        <v>0</v>
      </c>
      <c r="J13" s="11">
        <f t="shared" si="5"/>
        <v>0</v>
      </c>
      <c r="K13" s="16">
        <f>2400+1760</f>
        <v>4160</v>
      </c>
      <c r="L13" s="11">
        <f t="shared" si="6"/>
        <v>3466.666666666667</v>
      </c>
      <c r="M13" s="11">
        <f t="shared" si="7"/>
        <v>693.33333333333348</v>
      </c>
      <c r="N13" s="16">
        <v>5355</v>
      </c>
      <c r="O13" s="16">
        <f>51810+35032.5</f>
        <v>86842.5</v>
      </c>
      <c r="P13" s="11">
        <v>0</v>
      </c>
      <c r="Q13" s="11">
        <v>0</v>
      </c>
      <c r="R13" s="16">
        <v>17815</v>
      </c>
      <c r="S13" s="12"/>
    </row>
    <row r="14" spans="1:19" x14ac:dyDescent="0.3">
      <c r="A14" s="3">
        <v>45702</v>
      </c>
      <c r="B14" s="16">
        <f>94460+84225</f>
        <v>178685</v>
      </c>
      <c r="C14" s="11">
        <f t="shared" si="0"/>
        <v>162440.90909090909</v>
      </c>
      <c r="D14" s="11">
        <f t="shared" si="1"/>
        <v>16244.090909090908</v>
      </c>
      <c r="E14" s="16">
        <f>1300+2095</f>
        <v>3395</v>
      </c>
      <c r="F14" s="11">
        <f t="shared" si="2"/>
        <v>3086.363636363636</v>
      </c>
      <c r="G14" s="11">
        <f t="shared" si="3"/>
        <v>308.63636363636363</v>
      </c>
      <c r="H14" s="11">
        <v>0</v>
      </c>
      <c r="I14" s="11">
        <f t="shared" si="4"/>
        <v>0</v>
      </c>
      <c r="J14" s="11">
        <f t="shared" si="5"/>
        <v>0</v>
      </c>
      <c r="K14" s="16">
        <f>320+160</f>
        <v>480</v>
      </c>
      <c r="L14" s="11">
        <f t="shared" si="6"/>
        <v>400</v>
      </c>
      <c r="M14" s="11">
        <f t="shared" si="7"/>
        <v>80</v>
      </c>
      <c r="N14" s="16">
        <f>1790+9450</f>
        <v>11240</v>
      </c>
      <c r="O14" s="16">
        <f>89790+77030</f>
        <v>166820</v>
      </c>
      <c r="P14" s="16">
        <v>4500</v>
      </c>
      <c r="Q14" s="11">
        <v>0</v>
      </c>
      <c r="R14" s="11">
        <v>0</v>
      </c>
      <c r="S14" s="12" t="s">
        <v>21</v>
      </c>
    </row>
    <row r="15" spans="1:19" x14ac:dyDescent="0.3">
      <c r="A15" s="3">
        <v>45703</v>
      </c>
      <c r="B15" s="16">
        <f>108535+113245</f>
        <v>221780</v>
      </c>
      <c r="C15" s="11">
        <f t="shared" si="0"/>
        <v>201618.18181818179</v>
      </c>
      <c r="D15" s="11">
        <f t="shared" si="1"/>
        <v>20161.81818181818</v>
      </c>
      <c r="E15" s="16">
        <f>5900+6930</f>
        <v>12830</v>
      </c>
      <c r="F15" s="11">
        <f t="shared" si="2"/>
        <v>11663.636363636362</v>
      </c>
      <c r="G15" s="11">
        <f t="shared" si="3"/>
        <v>1166.3636363636363</v>
      </c>
      <c r="H15" s="16">
        <v>855</v>
      </c>
      <c r="I15" s="11">
        <f t="shared" si="4"/>
        <v>712.5</v>
      </c>
      <c r="J15" s="11">
        <f t="shared" si="5"/>
        <v>142.5</v>
      </c>
      <c r="K15" s="16">
        <f>3795+3680</f>
        <v>7475</v>
      </c>
      <c r="L15" s="11">
        <f t="shared" si="6"/>
        <v>6229.166666666667</v>
      </c>
      <c r="M15" s="11">
        <f t="shared" si="7"/>
        <v>1245.8333333333335</v>
      </c>
      <c r="N15" s="16">
        <f>7208.5+7325</f>
        <v>14533.5</v>
      </c>
      <c r="O15" s="16">
        <f>111876.5+111270</f>
        <v>223146.5</v>
      </c>
      <c r="P15" s="16">
        <v>5260</v>
      </c>
      <c r="Q15" s="11">
        <v>0</v>
      </c>
      <c r="R15" s="16">
        <v>5490</v>
      </c>
      <c r="S15" s="12"/>
    </row>
    <row r="16" spans="1:19" x14ac:dyDescent="0.3">
      <c r="A16" s="3">
        <v>45704</v>
      </c>
      <c r="B16" s="16">
        <f>98765+105585</f>
        <v>204350</v>
      </c>
      <c r="C16" s="11">
        <f t="shared" si="0"/>
        <v>185772.72727272726</v>
      </c>
      <c r="D16" s="11">
        <f t="shared" si="1"/>
        <v>18577.272727272728</v>
      </c>
      <c r="E16" s="16">
        <f>5880+9070</f>
        <v>14950</v>
      </c>
      <c r="F16" s="11">
        <f t="shared" si="2"/>
        <v>13590.90909090909</v>
      </c>
      <c r="G16" s="11">
        <f t="shared" si="3"/>
        <v>1359.090909090909</v>
      </c>
      <c r="H16" s="11">
        <v>0</v>
      </c>
      <c r="I16" s="11">
        <f t="shared" si="4"/>
        <v>0</v>
      </c>
      <c r="J16" s="11">
        <f t="shared" si="5"/>
        <v>0</v>
      </c>
      <c r="K16" s="16">
        <f>2400+2000</f>
        <v>4400</v>
      </c>
      <c r="L16" s="11">
        <f t="shared" si="6"/>
        <v>3666.666666666667</v>
      </c>
      <c r="M16" s="11">
        <f t="shared" si="7"/>
        <v>733.33333333333348</v>
      </c>
      <c r="N16" s="16">
        <f>6565+12885</f>
        <v>19450</v>
      </c>
      <c r="O16" s="16">
        <f>100480+101980</f>
        <v>202460</v>
      </c>
      <c r="P16" s="16">
        <v>1790</v>
      </c>
      <c r="Q16" s="11">
        <v>0</v>
      </c>
      <c r="R16" s="11">
        <v>0</v>
      </c>
      <c r="S16" s="12"/>
    </row>
    <row r="17" spans="1:19" x14ac:dyDescent="0.3">
      <c r="A17" s="3">
        <v>45706</v>
      </c>
      <c r="B17" s="16">
        <f>41055+24095.75</f>
        <v>65150.75</v>
      </c>
      <c r="C17" s="11">
        <f t="shared" si="0"/>
        <v>59227.954545454544</v>
      </c>
      <c r="D17" s="11">
        <f t="shared" si="1"/>
        <v>5922.795454545454</v>
      </c>
      <c r="E17" s="16">
        <f>3985+2165</f>
        <v>6150</v>
      </c>
      <c r="F17" s="11">
        <f t="shared" si="2"/>
        <v>5590.9090909090901</v>
      </c>
      <c r="G17" s="11">
        <f t="shared" si="3"/>
        <v>559.09090909090901</v>
      </c>
      <c r="H17" s="11">
        <v>0</v>
      </c>
      <c r="I17" s="11">
        <f t="shared" si="4"/>
        <v>0</v>
      </c>
      <c r="J17" s="11">
        <f t="shared" si="5"/>
        <v>0</v>
      </c>
      <c r="K17" s="16">
        <f>480+1256</f>
        <v>1736</v>
      </c>
      <c r="L17" s="11">
        <f t="shared" si="6"/>
        <v>1446.6666666666667</v>
      </c>
      <c r="M17" s="11">
        <f t="shared" si="7"/>
        <v>289.33333333333337</v>
      </c>
      <c r="N17" s="16">
        <v>1505</v>
      </c>
      <c r="O17" s="16">
        <f>44015+27516.75</f>
        <v>71531.75</v>
      </c>
      <c r="P17" s="11">
        <v>0</v>
      </c>
      <c r="Q17" s="11">
        <v>0</v>
      </c>
      <c r="R17" s="11">
        <v>0</v>
      </c>
      <c r="S17" s="12"/>
    </row>
    <row r="18" spans="1:19" x14ac:dyDescent="0.3">
      <c r="A18" s="3">
        <v>45707</v>
      </c>
      <c r="B18" s="16">
        <f>13590+60055</f>
        <v>73645</v>
      </c>
      <c r="C18" s="11">
        <f t="shared" si="0"/>
        <v>66950</v>
      </c>
      <c r="D18" s="11">
        <f t="shared" si="1"/>
        <v>6695</v>
      </c>
      <c r="E18" s="16">
        <f>1035+7230</f>
        <v>8265</v>
      </c>
      <c r="F18" s="11">
        <f t="shared" si="2"/>
        <v>7513.6363636363631</v>
      </c>
      <c r="G18" s="11">
        <f t="shared" si="3"/>
        <v>751.36363636363637</v>
      </c>
      <c r="H18" s="16">
        <v>900</v>
      </c>
      <c r="I18" s="11">
        <f t="shared" si="4"/>
        <v>750</v>
      </c>
      <c r="J18" s="11">
        <f t="shared" si="5"/>
        <v>150</v>
      </c>
      <c r="K18" s="16">
        <f>160+2240</f>
        <v>2400</v>
      </c>
      <c r="L18" s="11">
        <f t="shared" si="6"/>
        <v>2000</v>
      </c>
      <c r="M18" s="11">
        <f t="shared" si="7"/>
        <v>400</v>
      </c>
      <c r="N18" s="16">
        <f>2390+7480</f>
        <v>9870</v>
      </c>
      <c r="O18" s="16">
        <f>12395+62945</f>
        <v>75340</v>
      </c>
      <c r="P18" s="11">
        <v>0</v>
      </c>
      <c r="Q18" s="11">
        <v>0</v>
      </c>
      <c r="R18" s="16">
        <v>8200</v>
      </c>
      <c r="S18" s="12"/>
    </row>
    <row r="19" spans="1:19" x14ac:dyDescent="0.3">
      <c r="A19" s="3">
        <v>45708</v>
      </c>
      <c r="B19" s="16">
        <f>12505+32580</f>
        <v>45085</v>
      </c>
      <c r="C19" s="11">
        <f t="shared" si="0"/>
        <v>40986.363636363632</v>
      </c>
      <c r="D19" s="11">
        <f t="shared" si="1"/>
        <v>4098.636363636364</v>
      </c>
      <c r="E19" s="11">
        <v>0</v>
      </c>
      <c r="F19" s="11">
        <f t="shared" si="2"/>
        <v>0</v>
      </c>
      <c r="G19" s="11">
        <f t="shared" si="3"/>
        <v>0</v>
      </c>
      <c r="H19" s="11">
        <v>0</v>
      </c>
      <c r="I19" s="11">
        <f t="shared" si="4"/>
        <v>0</v>
      </c>
      <c r="J19" s="11">
        <f t="shared" si="5"/>
        <v>0</v>
      </c>
      <c r="K19" s="16">
        <v>400</v>
      </c>
      <c r="L19" s="11">
        <f t="shared" si="6"/>
        <v>333.33333333333337</v>
      </c>
      <c r="M19" s="11">
        <f t="shared" si="7"/>
        <v>66.666666666666686</v>
      </c>
      <c r="N19" s="16">
        <v>5725</v>
      </c>
      <c r="O19" s="16">
        <f>6780+30295</f>
        <v>37075</v>
      </c>
      <c r="P19" s="16">
        <v>2685</v>
      </c>
      <c r="Q19" s="11">
        <v>0</v>
      </c>
      <c r="R19" s="11">
        <v>0</v>
      </c>
      <c r="S19" s="12"/>
    </row>
    <row r="20" spans="1:19" x14ac:dyDescent="0.3">
      <c r="A20" s="3">
        <v>45709</v>
      </c>
      <c r="B20" s="16">
        <f>38357+12765</f>
        <v>51122</v>
      </c>
      <c r="C20" s="11">
        <f t="shared" si="0"/>
        <v>46474.545454545449</v>
      </c>
      <c r="D20" s="11">
        <f t="shared" si="1"/>
        <v>4647.454545454545</v>
      </c>
      <c r="E20" s="11">
        <v>0</v>
      </c>
      <c r="F20" s="11">
        <f t="shared" si="2"/>
        <v>0</v>
      </c>
      <c r="G20" s="11">
        <f t="shared" si="3"/>
        <v>0</v>
      </c>
      <c r="H20" s="16">
        <v>500</v>
      </c>
      <c r="I20" s="11">
        <f t="shared" si="4"/>
        <v>416.66666666666669</v>
      </c>
      <c r="J20" s="11">
        <f t="shared" si="5"/>
        <v>83.333333333333343</v>
      </c>
      <c r="K20" s="16">
        <f>320+895.5</f>
        <v>1215.5</v>
      </c>
      <c r="L20" s="11">
        <f t="shared" si="6"/>
        <v>1012.9166666666667</v>
      </c>
      <c r="M20" s="11">
        <f t="shared" si="7"/>
        <v>202.58333333333337</v>
      </c>
      <c r="N20" s="16">
        <f>5655+2975.5</f>
        <v>8630.5</v>
      </c>
      <c r="O20" s="16">
        <f>33022+11185</f>
        <v>44207</v>
      </c>
      <c r="P20" s="11">
        <v>0</v>
      </c>
      <c r="Q20" s="11">
        <v>0</v>
      </c>
      <c r="R20" s="11">
        <v>0</v>
      </c>
      <c r="S20" s="12"/>
    </row>
    <row r="21" spans="1:19" x14ac:dyDescent="0.3">
      <c r="A21" s="3">
        <v>45710</v>
      </c>
      <c r="B21" s="16">
        <f>66640+66895</f>
        <v>133535</v>
      </c>
      <c r="C21" s="11">
        <f t="shared" si="0"/>
        <v>121395.45454545453</v>
      </c>
      <c r="D21" s="11">
        <f t="shared" si="1"/>
        <v>12139.545454545454</v>
      </c>
      <c r="E21" s="16">
        <f>1960+2090</f>
        <v>4050</v>
      </c>
      <c r="F21" s="11">
        <f t="shared" si="2"/>
        <v>3681.8181818181815</v>
      </c>
      <c r="G21" s="11">
        <f t="shared" si="3"/>
        <v>368.18181818181819</v>
      </c>
      <c r="H21" s="16">
        <v>1120</v>
      </c>
      <c r="I21" s="11">
        <f t="shared" si="4"/>
        <v>933.33333333333337</v>
      </c>
      <c r="J21" s="11">
        <f t="shared" si="5"/>
        <v>186.66666666666669</v>
      </c>
      <c r="K21" s="16">
        <f>1280+1680</f>
        <v>2960</v>
      </c>
      <c r="L21" s="11">
        <f t="shared" si="6"/>
        <v>2466.666666666667</v>
      </c>
      <c r="M21" s="11">
        <f t="shared" si="7"/>
        <v>493.33333333333343</v>
      </c>
      <c r="N21" s="16">
        <f>2570+20</f>
        <v>2590</v>
      </c>
      <c r="O21" s="16">
        <f>68430+70645</f>
        <v>139075</v>
      </c>
      <c r="P21" s="11">
        <v>0</v>
      </c>
      <c r="Q21" s="11">
        <v>0</v>
      </c>
      <c r="R21" s="16">
        <v>7190</v>
      </c>
      <c r="S21" s="12"/>
    </row>
    <row r="22" spans="1:19" x14ac:dyDescent="0.3">
      <c r="A22" s="3">
        <v>45711</v>
      </c>
      <c r="B22" s="16">
        <f>92070+107035</f>
        <v>199105</v>
      </c>
      <c r="C22" s="11">
        <f t="shared" si="0"/>
        <v>181004.54545454544</v>
      </c>
      <c r="D22" s="11">
        <f t="shared" si="1"/>
        <v>18100.454545454544</v>
      </c>
      <c r="E22" s="16">
        <f>8510+7900</f>
        <v>16410</v>
      </c>
      <c r="F22" s="11">
        <f t="shared" si="2"/>
        <v>14918.181818181816</v>
      </c>
      <c r="G22" s="11">
        <f t="shared" si="3"/>
        <v>1491.8181818181818</v>
      </c>
      <c r="H22" s="11">
        <v>0</v>
      </c>
      <c r="I22" s="11">
        <f t="shared" si="4"/>
        <v>0</v>
      </c>
      <c r="J22" s="11">
        <f t="shared" si="5"/>
        <v>0</v>
      </c>
      <c r="K22" s="16">
        <f>2160+2080</f>
        <v>4240</v>
      </c>
      <c r="L22" s="11">
        <f t="shared" si="6"/>
        <v>3533.3333333333335</v>
      </c>
      <c r="M22" s="11">
        <f t="shared" si="7"/>
        <v>706.66666666666674</v>
      </c>
      <c r="N22" s="16">
        <f>11900+6650</f>
        <v>18550</v>
      </c>
      <c r="O22" s="16">
        <f>90840+108575</f>
        <v>199415</v>
      </c>
      <c r="P22" s="16">
        <v>1790</v>
      </c>
      <c r="Q22" s="11">
        <v>0</v>
      </c>
      <c r="R22" s="16">
        <f>1790+5345</f>
        <v>7135</v>
      </c>
      <c r="S22" s="12"/>
    </row>
    <row r="23" spans="1:19" x14ac:dyDescent="0.3">
      <c r="A23" s="3">
        <v>45713</v>
      </c>
      <c r="B23" s="16">
        <f>29080+16690</f>
        <v>45770</v>
      </c>
      <c r="C23" s="11">
        <f t="shared" si="0"/>
        <v>41609.090909090904</v>
      </c>
      <c r="D23" s="11">
        <f t="shared" si="1"/>
        <v>4160.909090909091</v>
      </c>
      <c r="E23" s="16">
        <f>2580+2520</f>
        <v>5100</v>
      </c>
      <c r="F23" s="11">
        <f t="shared" si="2"/>
        <v>4636.363636363636</v>
      </c>
      <c r="G23" s="11">
        <f t="shared" si="3"/>
        <v>463.63636363636363</v>
      </c>
      <c r="H23" s="11">
        <v>0</v>
      </c>
      <c r="I23" s="11">
        <f t="shared" si="4"/>
        <v>0</v>
      </c>
      <c r="J23" s="11">
        <f t="shared" si="5"/>
        <v>0</v>
      </c>
      <c r="K23" s="16">
        <f>1200+1360</f>
        <v>2560</v>
      </c>
      <c r="L23" s="11">
        <f t="shared" si="6"/>
        <v>2133.3333333333335</v>
      </c>
      <c r="M23" s="11">
        <f t="shared" si="7"/>
        <v>426.66666666666674</v>
      </c>
      <c r="N23" s="16">
        <f>5562.5+3000</f>
        <v>8562.5</v>
      </c>
      <c r="O23" s="16">
        <f>27297.5+17570</f>
        <v>44867.5</v>
      </c>
      <c r="P23" s="11">
        <v>0</v>
      </c>
      <c r="Q23" s="11">
        <v>0</v>
      </c>
      <c r="R23" s="11">
        <v>0</v>
      </c>
      <c r="S23" s="12"/>
    </row>
    <row r="24" spans="1:19" x14ac:dyDescent="0.3">
      <c r="A24" s="3">
        <v>45714</v>
      </c>
      <c r="B24" s="16">
        <f>39835+53905</f>
        <v>93740</v>
      </c>
      <c r="C24" s="11">
        <f t="shared" si="0"/>
        <v>85218.181818181809</v>
      </c>
      <c r="D24" s="11">
        <f t="shared" si="1"/>
        <v>8521.818181818182</v>
      </c>
      <c r="E24" s="16">
        <f>1030+4265</f>
        <v>5295</v>
      </c>
      <c r="F24" s="11">
        <f t="shared" si="2"/>
        <v>4813.6363636363631</v>
      </c>
      <c r="G24" s="11">
        <f t="shared" si="3"/>
        <v>481.36363636363632</v>
      </c>
      <c r="H24" s="16">
        <v>300</v>
      </c>
      <c r="I24" s="11">
        <f t="shared" si="4"/>
        <v>250</v>
      </c>
      <c r="J24" s="11">
        <f t="shared" si="5"/>
        <v>50</v>
      </c>
      <c r="K24" s="16">
        <f>640+1840</f>
        <v>2480</v>
      </c>
      <c r="L24" s="11">
        <f t="shared" si="6"/>
        <v>2066.666666666667</v>
      </c>
      <c r="M24" s="11">
        <f t="shared" si="7"/>
        <v>413.33333333333343</v>
      </c>
      <c r="N24" s="16">
        <f>10790+19280</f>
        <v>30070</v>
      </c>
      <c r="O24" s="16">
        <f>30715+41030</f>
        <v>71745</v>
      </c>
      <c r="P24" s="11">
        <v>0</v>
      </c>
      <c r="Q24" s="11">
        <v>0</v>
      </c>
      <c r="R24" s="11">
        <v>0</v>
      </c>
      <c r="S24" s="12"/>
    </row>
    <row r="25" spans="1:19" x14ac:dyDescent="0.3">
      <c r="A25" s="3">
        <v>45715</v>
      </c>
      <c r="B25" s="16">
        <f>34280+56160</f>
        <v>90440</v>
      </c>
      <c r="C25" s="11">
        <f t="shared" si="0"/>
        <v>82218.181818181809</v>
      </c>
      <c r="D25" s="11">
        <f t="shared" si="1"/>
        <v>8221.818181818182</v>
      </c>
      <c r="E25" s="16">
        <f>1225+2540</f>
        <v>3765</v>
      </c>
      <c r="F25" s="11">
        <f t="shared" si="2"/>
        <v>3422.7272727272725</v>
      </c>
      <c r="G25" s="11">
        <f t="shared" si="3"/>
        <v>342.27272727272725</v>
      </c>
      <c r="H25" s="16">
        <f>700+450</f>
        <v>1150</v>
      </c>
      <c r="I25" s="11">
        <f t="shared" si="4"/>
        <v>958.33333333333337</v>
      </c>
      <c r="J25" s="11">
        <f t="shared" si="5"/>
        <v>191.66666666666669</v>
      </c>
      <c r="K25" s="16">
        <f>1760+1200</f>
        <v>2960</v>
      </c>
      <c r="L25" s="11">
        <f t="shared" si="6"/>
        <v>2466.666666666667</v>
      </c>
      <c r="M25" s="11">
        <f t="shared" si="7"/>
        <v>493.33333333333343</v>
      </c>
      <c r="N25" s="16">
        <f>2140+2145</f>
        <v>4285</v>
      </c>
      <c r="O25" s="16">
        <f>34242.5+58205</f>
        <v>92447.5</v>
      </c>
      <c r="P25" s="16">
        <v>1582.5</v>
      </c>
      <c r="Q25" s="11">
        <v>0</v>
      </c>
      <c r="R25" s="16">
        <f>21980+6305</f>
        <v>28285</v>
      </c>
      <c r="S25" s="12"/>
    </row>
    <row r="26" spans="1:19" x14ac:dyDescent="0.3">
      <c r="A26" s="3">
        <v>45716</v>
      </c>
      <c r="B26" s="16">
        <f>102187.5+45610</f>
        <v>147797.5</v>
      </c>
      <c r="C26" s="11">
        <f t="shared" si="0"/>
        <v>134361.36363636362</v>
      </c>
      <c r="D26" s="11">
        <f t="shared" si="1"/>
        <v>13436.136363636362</v>
      </c>
      <c r="E26" s="16">
        <f>5510+2935</f>
        <v>8445</v>
      </c>
      <c r="F26" s="11">
        <f t="shared" si="2"/>
        <v>7677.272727272727</v>
      </c>
      <c r="G26" s="11">
        <f t="shared" si="3"/>
        <v>767.72727272727263</v>
      </c>
      <c r="H26" s="16">
        <f>1337.5+700</f>
        <v>2037.5</v>
      </c>
      <c r="I26" s="11">
        <f t="shared" si="4"/>
        <v>1697.9166666666667</v>
      </c>
      <c r="J26" s="11">
        <f t="shared" si="5"/>
        <v>339.58333333333337</v>
      </c>
      <c r="K26" s="16">
        <f>3360+1840</f>
        <v>5200</v>
      </c>
      <c r="L26" s="11">
        <f t="shared" si="6"/>
        <v>4333.3333333333339</v>
      </c>
      <c r="M26" s="11">
        <f t="shared" si="7"/>
        <v>866.66666666666686</v>
      </c>
      <c r="N26" s="16">
        <v>10225</v>
      </c>
      <c r="O26" s="16">
        <f>99275+49015</f>
        <v>148290</v>
      </c>
      <c r="P26" s="16">
        <f>2895+2070</f>
        <v>4965</v>
      </c>
      <c r="Q26" s="11">
        <v>0</v>
      </c>
      <c r="R26" s="16">
        <v>10385</v>
      </c>
      <c r="S26" s="12"/>
    </row>
    <row r="27" spans="1:19" ht="15.6" x14ac:dyDescent="0.3">
      <c r="B27" s="20">
        <f>SUM(B3:B26)</f>
        <v>2734581.1799999997</v>
      </c>
      <c r="C27" s="20"/>
      <c r="D27" s="20"/>
      <c r="E27" s="20">
        <f>SUM(E3:E26)</f>
        <v>165195</v>
      </c>
      <c r="F27" s="20"/>
      <c r="G27" s="20"/>
      <c r="H27" s="20">
        <f>SUM(H3:H26)</f>
        <v>15097.5</v>
      </c>
      <c r="I27" s="20"/>
      <c r="J27" s="20"/>
      <c r="K27" s="20">
        <f>SUM(K3:K26)</f>
        <v>75183.570000000007</v>
      </c>
      <c r="L27" s="20"/>
      <c r="M27" s="20"/>
      <c r="N27" s="20">
        <f>SUM(N3:N26)</f>
        <v>219916.5</v>
      </c>
      <c r="O27" s="20">
        <f>SUM(O3:O26)</f>
        <v>2730683.25</v>
      </c>
      <c r="P27" s="20">
        <f>SUM(P3:P26)</f>
        <v>39457.5</v>
      </c>
      <c r="Q27" s="20">
        <f>SUM(Q3:Q26)</f>
        <v>0</v>
      </c>
      <c r="R27" s="20">
        <f>SUM(R3:R26)</f>
        <v>195080</v>
      </c>
      <c r="S27" s="21"/>
    </row>
    <row r="29" spans="1:19" x14ac:dyDescent="0.3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</row>
    <row r="31" spans="1:19" x14ac:dyDescent="0.3">
      <c r="B31" s="18"/>
      <c r="E31" s="18"/>
      <c r="H31" s="18"/>
      <c r="K31" s="18"/>
      <c r="N31" s="18"/>
    </row>
  </sheetData>
  <mergeCells count="1">
    <mergeCell ref="Q1:R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opLeftCell="A16" zoomScaleNormal="100" workbookViewId="0">
      <selection activeCell="T14" sqref="T14:U14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15.3320312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65" t="s">
        <v>8</v>
      </c>
      <c r="R1" s="65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45717</v>
      </c>
      <c r="B3" s="16">
        <f>38385+77005</f>
        <v>115390</v>
      </c>
      <c r="C3" s="11">
        <f>B3/1.1</f>
        <v>104899.99999999999</v>
      </c>
      <c r="D3" s="11">
        <f>C3*10/100</f>
        <v>10489.999999999998</v>
      </c>
      <c r="E3" s="16">
        <f>915+1950</f>
        <v>2865</v>
      </c>
      <c r="F3" s="11">
        <f>E3/1.1</f>
        <v>2604.5454545454545</v>
      </c>
      <c r="G3" s="11">
        <f>F3*10/100</f>
        <v>260.45454545454544</v>
      </c>
      <c r="H3" s="11">
        <v>0</v>
      </c>
      <c r="I3" s="11">
        <f>H3/1.2</f>
        <v>0</v>
      </c>
      <c r="J3" s="11">
        <f>I3*20/100</f>
        <v>0</v>
      </c>
      <c r="K3" s="11">
        <v>0</v>
      </c>
      <c r="L3" s="11">
        <f>K3/1.2</f>
        <v>0</v>
      </c>
      <c r="M3" s="11">
        <f>L3*20/100</f>
        <v>0</v>
      </c>
      <c r="N3" s="16">
        <f>3540+15000</f>
        <v>18540</v>
      </c>
      <c r="O3" s="16">
        <f>35760+62455</f>
        <v>98215</v>
      </c>
      <c r="P3" s="16">
        <v>1500</v>
      </c>
      <c r="Q3" s="11">
        <v>0</v>
      </c>
      <c r="R3" s="11">
        <v>0</v>
      </c>
      <c r="S3" s="12"/>
    </row>
    <row r="4" spans="1:19" x14ac:dyDescent="0.3">
      <c r="A4" s="3">
        <v>45718</v>
      </c>
      <c r="B4" s="16">
        <f>66360+64275</f>
        <v>130635</v>
      </c>
      <c r="C4" s="11">
        <f t="shared" ref="C4:C33" si="0">B4/1.1</f>
        <v>118759.0909090909</v>
      </c>
      <c r="D4" s="11">
        <f t="shared" ref="D4:D33" si="1">C4*10/100</f>
        <v>11875.90909090909</v>
      </c>
      <c r="E4" s="16">
        <f>4530+2250</f>
        <v>6780</v>
      </c>
      <c r="F4" s="11">
        <f t="shared" ref="F4:F33" si="2">E4/1.1</f>
        <v>6163.6363636363631</v>
      </c>
      <c r="G4" s="11">
        <f t="shared" ref="G4:G33" si="3">F4*10/100</f>
        <v>616.36363636363637</v>
      </c>
      <c r="H4" s="16">
        <v>500</v>
      </c>
      <c r="I4" s="11">
        <f t="shared" ref="I4:I33" si="4">H4/1.2</f>
        <v>416.66666666666669</v>
      </c>
      <c r="J4" s="11">
        <f t="shared" ref="J4:J33" si="5">I4*20/100</f>
        <v>83.333333333333343</v>
      </c>
      <c r="K4" s="16">
        <v>240</v>
      </c>
      <c r="L4" s="11">
        <f t="shared" ref="L4:L33" si="6">K4/1.2</f>
        <v>200</v>
      </c>
      <c r="M4" s="11">
        <f t="shared" ref="M4:M33" si="7">L4*20/100</f>
        <v>40</v>
      </c>
      <c r="N4" s="16">
        <f>4890+6405</f>
        <v>11295</v>
      </c>
      <c r="O4" s="16">
        <f>66240+60620</f>
        <v>126860</v>
      </c>
      <c r="P4" s="11">
        <v>0</v>
      </c>
      <c r="Q4" s="11">
        <v>0</v>
      </c>
      <c r="R4" s="16">
        <v>6775</v>
      </c>
      <c r="S4" s="12"/>
    </row>
    <row r="5" spans="1:19" x14ac:dyDescent="0.3">
      <c r="A5" s="3">
        <v>45719</v>
      </c>
      <c r="B5" s="16">
        <f>21540+9000</f>
        <v>30540</v>
      </c>
      <c r="C5" s="11">
        <f t="shared" si="0"/>
        <v>27763.63636363636</v>
      </c>
      <c r="D5" s="11">
        <f t="shared" si="1"/>
        <v>2776.363636363636</v>
      </c>
      <c r="E5" s="16">
        <f>80+1020</f>
        <v>1100</v>
      </c>
      <c r="F5" s="11">
        <f t="shared" si="2"/>
        <v>999.99999999999989</v>
      </c>
      <c r="G5" s="11">
        <f t="shared" si="3"/>
        <v>99.999999999999986</v>
      </c>
      <c r="H5" s="11">
        <v>0</v>
      </c>
      <c r="I5" s="11">
        <f t="shared" si="4"/>
        <v>0</v>
      </c>
      <c r="J5" s="11">
        <f t="shared" si="5"/>
        <v>0</v>
      </c>
      <c r="K5" s="11">
        <v>0</v>
      </c>
      <c r="L5" s="11">
        <f t="shared" si="6"/>
        <v>0</v>
      </c>
      <c r="M5" s="11">
        <f t="shared" si="7"/>
        <v>0</v>
      </c>
      <c r="N5" s="11">
        <v>0</v>
      </c>
      <c r="O5" s="16">
        <f>21620+10020</f>
        <v>31640</v>
      </c>
      <c r="P5" s="11">
        <v>0</v>
      </c>
      <c r="Q5" s="11">
        <v>0</v>
      </c>
      <c r="R5" s="11">
        <v>0</v>
      </c>
      <c r="S5" s="12"/>
    </row>
    <row r="6" spans="1:19" x14ac:dyDescent="0.3">
      <c r="A6" s="3">
        <v>45720</v>
      </c>
      <c r="B6" s="16">
        <f>2000+21440+38390</f>
        <v>61830</v>
      </c>
      <c r="C6" s="11">
        <f t="shared" si="0"/>
        <v>56209.090909090904</v>
      </c>
      <c r="D6" s="11">
        <f t="shared" si="1"/>
        <v>5620.909090909091</v>
      </c>
      <c r="E6" s="16">
        <f>310+200</f>
        <v>510</v>
      </c>
      <c r="F6" s="11">
        <f t="shared" si="2"/>
        <v>463.63636363636363</v>
      </c>
      <c r="G6" s="11">
        <f t="shared" si="3"/>
        <v>46.36363636363636</v>
      </c>
      <c r="H6" s="11">
        <v>0</v>
      </c>
      <c r="I6" s="11">
        <f t="shared" si="4"/>
        <v>0</v>
      </c>
      <c r="J6" s="11">
        <f t="shared" si="5"/>
        <v>0</v>
      </c>
      <c r="K6" s="11">
        <v>0</v>
      </c>
      <c r="L6" s="11">
        <f t="shared" si="6"/>
        <v>0</v>
      </c>
      <c r="M6" s="11">
        <f t="shared" si="7"/>
        <v>0</v>
      </c>
      <c r="N6" s="16">
        <f>4080</f>
        <v>4080</v>
      </c>
      <c r="O6" s="16">
        <f>29490+2000+21750</f>
        <v>53240</v>
      </c>
      <c r="P6" s="16">
        <v>5020</v>
      </c>
      <c r="Q6" s="11">
        <v>0</v>
      </c>
      <c r="R6" s="16">
        <v>13200</v>
      </c>
      <c r="S6" s="19"/>
    </row>
    <row r="7" spans="1:19" x14ac:dyDescent="0.3">
      <c r="A7" s="3">
        <v>45721</v>
      </c>
      <c r="B7" s="16">
        <f>43500+24680</f>
        <v>68180</v>
      </c>
      <c r="C7" s="11">
        <f t="shared" si="0"/>
        <v>61981.818181818177</v>
      </c>
      <c r="D7" s="11">
        <f t="shared" si="1"/>
        <v>6198.181818181818</v>
      </c>
      <c r="E7" s="16">
        <f>1535+695</f>
        <v>2230</v>
      </c>
      <c r="F7" s="11">
        <f t="shared" si="2"/>
        <v>2027.272727272727</v>
      </c>
      <c r="G7" s="11">
        <f t="shared" si="3"/>
        <v>202.72727272727272</v>
      </c>
      <c r="H7" s="11">
        <v>0</v>
      </c>
      <c r="I7" s="11">
        <f t="shared" si="4"/>
        <v>0</v>
      </c>
      <c r="J7" s="11">
        <f t="shared" si="5"/>
        <v>0</v>
      </c>
      <c r="K7" s="11">
        <v>0</v>
      </c>
      <c r="L7" s="11">
        <f t="shared" si="6"/>
        <v>0</v>
      </c>
      <c r="M7" s="11">
        <f t="shared" si="7"/>
        <v>0</v>
      </c>
      <c r="N7" s="16">
        <v>2640</v>
      </c>
      <c r="O7" s="16">
        <f>45035+22235</f>
        <v>67270</v>
      </c>
      <c r="P7" s="16">
        <v>500</v>
      </c>
      <c r="Q7" s="11">
        <v>0</v>
      </c>
      <c r="R7" s="11">
        <v>0</v>
      </c>
      <c r="S7" s="19"/>
    </row>
    <row r="8" spans="1:19" x14ac:dyDescent="0.3">
      <c r="A8" s="3">
        <v>45722</v>
      </c>
      <c r="B8" s="16">
        <f>18000+56145</f>
        <v>74145</v>
      </c>
      <c r="C8" s="11">
        <f t="shared" si="0"/>
        <v>67404.545454545456</v>
      </c>
      <c r="D8" s="11">
        <f t="shared" si="1"/>
        <v>6740.454545454546</v>
      </c>
      <c r="E8" s="16">
        <f>300+915</f>
        <v>1215</v>
      </c>
      <c r="F8" s="11">
        <f t="shared" si="2"/>
        <v>1104.5454545454545</v>
      </c>
      <c r="G8" s="11">
        <f t="shared" si="3"/>
        <v>110.45454545454544</v>
      </c>
      <c r="H8" s="16">
        <v>500</v>
      </c>
      <c r="I8" s="11">
        <f t="shared" si="4"/>
        <v>416.66666666666669</v>
      </c>
      <c r="J8" s="11">
        <f t="shared" si="5"/>
        <v>83.333333333333343</v>
      </c>
      <c r="K8" s="11">
        <v>0</v>
      </c>
      <c r="L8" s="11">
        <f t="shared" si="6"/>
        <v>0</v>
      </c>
      <c r="M8" s="11">
        <f t="shared" si="7"/>
        <v>0</v>
      </c>
      <c r="N8" s="16">
        <v>11000</v>
      </c>
      <c r="O8" s="16">
        <f>46560+18300</f>
        <v>64860</v>
      </c>
      <c r="P8" s="11">
        <v>0</v>
      </c>
      <c r="Q8" s="11">
        <v>0</v>
      </c>
      <c r="R8" s="16">
        <v>24225</v>
      </c>
      <c r="S8" s="12"/>
    </row>
    <row r="9" spans="1:19" x14ac:dyDescent="0.3">
      <c r="A9" s="3">
        <v>45723</v>
      </c>
      <c r="B9" s="16">
        <f>55450+43160</f>
        <v>98610</v>
      </c>
      <c r="C9" s="11">
        <f t="shared" si="0"/>
        <v>89645.454545454544</v>
      </c>
      <c r="D9" s="11">
        <f t="shared" si="1"/>
        <v>8964.545454545454</v>
      </c>
      <c r="E9" s="16">
        <f>2280</f>
        <v>2280</v>
      </c>
      <c r="F9" s="11">
        <f t="shared" si="2"/>
        <v>2072.7272727272725</v>
      </c>
      <c r="G9" s="11">
        <f t="shared" si="3"/>
        <v>207.27272727272725</v>
      </c>
      <c r="H9" s="16">
        <f>145+940</f>
        <v>1085</v>
      </c>
      <c r="I9" s="11">
        <f t="shared" si="4"/>
        <v>904.16666666666674</v>
      </c>
      <c r="J9" s="11">
        <f t="shared" si="5"/>
        <v>180.83333333333337</v>
      </c>
      <c r="K9" s="11">
        <v>0</v>
      </c>
      <c r="L9" s="11">
        <f t="shared" si="6"/>
        <v>0</v>
      </c>
      <c r="M9" s="11">
        <f t="shared" si="7"/>
        <v>0</v>
      </c>
      <c r="N9" s="16">
        <v>2020</v>
      </c>
      <c r="O9" s="16">
        <f>55595+44360</f>
        <v>99955</v>
      </c>
      <c r="P9" s="11">
        <v>0</v>
      </c>
      <c r="Q9" s="11">
        <v>0</v>
      </c>
      <c r="R9" s="16">
        <v>17610</v>
      </c>
      <c r="S9" s="12"/>
    </row>
    <row r="10" spans="1:19" x14ac:dyDescent="0.3">
      <c r="A10" s="3">
        <v>45724</v>
      </c>
      <c r="B10" s="16">
        <f>40920+69920</f>
        <v>110840</v>
      </c>
      <c r="C10" s="11">
        <f t="shared" si="0"/>
        <v>100763.63636363635</v>
      </c>
      <c r="D10" s="11">
        <f t="shared" si="1"/>
        <v>10076.363636363636</v>
      </c>
      <c r="E10" s="16">
        <f>900+2330</f>
        <v>3230</v>
      </c>
      <c r="F10" s="11">
        <f t="shared" si="2"/>
        <v>2936.363636363636</v>
      </c>
      <c r="G10" s="11">
        <f t="shared" si="3"/>
        <v>293.63636363636363</v>
      </c>
      <c r="H10" s="11">
        <v>0</v>
      </c>
      <c r="I10" s="11">
        <f t="shared" si="4"/>
        <v>0</v>
      </c>
      <c r="J10" s="11">
        <f t="shared" si="5"/>
        <v>0</v>
      </c>
      <c r="K10" s="11">
        <v>0</v>
      </c>
      <c r="L10" s="11">
        <f t="shared" si="6"/>
        <v>0</v>
      </c>
      <c r="M10" s="11">
        <f t="shared" si="7"/>
        <v>0</v>
      </c>
      <c r="N10" s="16">
        <f>500+3800</f>
        <v>4300</v>
      </c>
      <c r="O10" s="16">
        <f>39530+68450</f>
        <v>107980</v>
      </c>
      <c r="P10" s="16">
        <v>1790</v>
      </c>
      <c r="Q10" s="11">
        <v>0</v>
      </c>
      <c r="R10" s="16">
        <v>58685</v>
      </c>
      <c r="S10" s="12"/>
    </row>
    <row r="11" spans="1:19" x14ac:dyDescent="0.3">
      <c r="A11" s="3">
        <v>45725</v>
      </c>
      <c r="B11" s="16">
        <f>97790+54735</f>
        <v>152525</v>
      </c>
      <c r="C11" s="11">
        <f t="shared" si="0"/>
        <v>138659.09090909091</v>
      </c>
      <c r="D11" s="11">
        <f t="shared" si="1"/>
        <v>13865.909090909092</v>
      </c>
      <c r="E11" s="16">
        <f>4935+2785</f>
        <v>7720</v>
      </c>
      <c r="F11" s="11">
        <f t="shared" si="2"/>
        <v>7018.181818181818</v>
      </c>
      <c r="G11" s="11">
        <f t="shared" si="3"/>
        <v>701.81818181818176</v>
      </c>
      <c r="H11" s="11">
        <v>0</v>
      </c>
      <c r="I11" s="11">
        <f t="shared" si="4"/>
        <v>0</v>
      </c>
      <c r="J11" s="11">
        <f t="shared" si="5"/>
        <v>0</v>
      </c>
      <c r="K11" s="11">
        <v>0</v>
      </c>
      <c r="L11" s="11">
        <f t="shared" si="6"/>
        <v>0</v>
      </c>
      <c r="M11" s="11">
        <f t="shared" si="7"/>
        <v>0</v>
      </c>
      <c r="N11" s="16">
        <f>1790+3000</f>
        <v>4790</v>
      </c>
      <c r="O11" s="16">
        <f>100935+48290</f>
        <v>149225</v>
      </c>
      <c r="P11" s="16">
        <v>6230</v>
      </c>
      <c r="Q11" s="11">
        <v>0</v>
      </c>
      <c r="R11" s="11">
        <v>0</v>
      </c>
      <c r="S11" s="22" t="s">
        <v>22</v>
      </c>
    </row>
    <row r="12" spans="1:19" x14ac:dyDescent="0.3">
      <c r="A12" s="3">
        <v>45726</v>
      </c>
      <c r="B12" s="16">
        <f>21540+3580</f>
        <v>25120</v>
      </c>
      <c r="C12" s="11">
        <f t="shared" si="0"/>
        <v>22836.363636363636</v>
      </c>
      <c r="D12" s="11">
        <f t="shared" si="1"/>
        <v>2283.6363636363635</v>
      </c>
      <c r="E12" s="16">
        <f>465+345</f>
        <v>810</v>
      </c>
      <c r="F12" s="11">
        <f t="shared" si="2"/>
        <v>736.36363636363626</v>
      </c>
      <c r="G12" s="11">
        <f t="shared" si="3"/>
        <v>73.636363636363626</v>
      </c>
      <c r="H12" s="11">
        <v>0</v>
      </c>
      <c r="I12" s="11">
        <f t="shared" si="4"/>
        <v>0</v>
      </c>
      <c r="J12" s="11">
        <f t="shared" si="5"/>
        <v>0</v>
      </c>
      <c r="K12" s="11">
        <v>0</v>
      </c>
      <c r="L12" s="11">
        <f t="shared" si="6"/>
        <v>0</v>
      </c>
      <c r="M12" s="11">
        <f t="shared" si="7"/>
        <v>0</v>
      </c>
      <c r="N12" s="16">
        <v>2250</v>
      </c>
      <c r="O12" s="16">
        <f>19755+3925</f>
        <v>23680</v>
      </c>
      <c r="P12" s="11">
        <v>0</v>
      </c>
      <c r="Q12" s="11">
        <v>0</v>
      </c>
      <c r="R12" s="16">
        <f>10770+22720</f>
        <v>33490</v>
      </c>
      <c r="S12" s="12"/>
    </row>
    <row r="13" spans="1:19" x14ac:dyDescent="0.3">
      <c r="A13" s="3">
        <v>45727</v>
      </c>
      <c r="B13" s="16">
        <f>45025+36000</f>
        <v>81025</v>
      </c>
      <c r="C13" s="11">
        <f t="shared" si="0"/>
        <v>73659.090909090897</v>
      </c>
      <c r="D13" s="11">
        <f t="shared" si="1"/>
        <v>7365.9090909090892</v>
      </c>
      <c r="E13" s="16">
        <f>1585+515</f>
        <v>2100</v>
      </c>
      <c r="F13" s="11">
        <f t="shared" si="2"/>
        <v>1909.090909090909</v>
      </c>
      <c r="G13" s="11">
        <f t="shared" si="3"/>
        <v>190.90909090909088</v>
      </c>
      <c r="H13" s="11">
        <v>0</v>
      </c>
      <c r="I13" s="11">
        <f t="shared" si="4"/>
        <v>0</v>
      </c>
      <c r="J13" s="11">
        <f t="shared" si="5"/>
        <v>0</v>
      </c>
      <c r="K13" s="11">
        <v>0</v>
      </c>
      <c r="L13" s="11">
        <f t="shared" si="6"/>
        <v>0</v>
      </c>
      <c r="M13" s="11">
        <f t="shared" si="7"/>
        <v>0</v>
      </c>
      <c r="N13" s="16">
        <v>7995</v>
      </c>
      <c r="O13" s="16">
        <f>38615+36515</f>
        <v>75130</v>
      </c>
      <c r="P13" s="11">
        <v>0</v>
      </c>
      <c r="Q13" s="11">
        <v>0</v>
      </c>
      <c r="R13" s="16">
        <v>13500</v>
      </c>
      <c r="S13" s="12"/>
    </row>
    <row r="14" spans="1:19" x14ac:dyDescent="0.3">
      <c r="A14" s="3">
        <v>45728</v>
      </c>
      <c r="B14" s="16">
        <f>44700+45450</f>
        <v>90150</v>
      </c>
      <c r="C14" s="11">
        <f t="shared" si="0"/>
        <v>81954.545454545441</v>
      </c>
      <c r="D14" s="11">
        <f t="shared" si="1"/>
        <v>8195.4545454545441</v>
      </c>
      <c r="E14" s="16">
        <f>1390+480</f>
        <v>1870</v>
      </c>
      <c r="F14" s="11">
        <f t="shared" si="2"/>
        <v>1699.9999999999998</v>
      </c>
      <c r="G14" s="11">
        <f t="shared" si="3"/>
        <v>169.99999999999997</v>
      </c>
      <c r="H14" s="11">
        <v>0</v>
      </c>
      <c r="I14" s="11">
        <f t="shared" si="4"/>
        <v>0</v>
      </c>
      <c r="J14" s="11">
        <f t="shared" si="5"/>
        <v>0</v>
      </c>
      <c r="K14" s="16">
        <v>400</v>
      </c>
      <c r="L14" s="11">
        <f t="shared" si="6"/>
        <v>333.33333333333337</v>
      </c>
      <c r="M14" s="11">
        <f t="shared" si="7"/>
        <v>66.666666666666686</v>
      </c>
      <c r="N14" s="11">
        <v>0</v>
      </c>
      <c r="O14" s="16">
        <f>46090+46330</f>
        <v>92420</v>
      </c>
      <c r="P14" s="11">
        <v>0</v>
      </c>
      <c r="Q14" s="16">
        <v>10000</v>
      </c>
      <c r="R14" s="16">
        <f>21750+11040</f>
        <v>32790</v>
      </c>
      <c r="S14" s="12"/>
    </row>
    <row r="15" spans="1:19" x14ac:dyDescent="0.3">
      <c r="A15" s="3">
        <v>45729</v>
      </c>
      <c r="B15" s="16">
        <f>37450+45540</f>
        <v>82990</v>
      </c>
      <c r="C15" s="11">
        <f t="shared" ref="C15:C20" si="8">B15/1.1</f>
        <v>75445.454545454544</v>
      </c>
      <c r="D15" s="11">
        <f t="shared" ref="D15:D20" si="9">C15*10/100</f>
        <v>7544.545454545454</v>
      </c>
      <c r="E15" s="16">
        <f>170+1735</f>
        <v>1905</v>
      </c>
      <c r="F15" s="11">
        <f t="shared" ref="F15:F20" si="10">E15/1.1</f>
        <v>1731.8181818181818</v>
      </c>
      <c r="G15" s="11">
        <f t="shared" ref="G15:G20" si="11">F15*10/100</f>
        <v>173.18181818181816</v>
      </c>
      <c r="H15" s="11">
        <v>0</v>
      </c>
      <c r="I15" s="11">
        <f t="shared" ref="I15:I20" si="12">H15/1.2</f>
        <v>0</v>
      </c>
      <c r="J15" s="11">
        <f t="shared" ref="J15:J20" si="13">I15*20/100</f>
        <v>0</v>
      </c>
      <c r="K15" s="11">
        <v>0</v>
      </c>
      <c r="L15" s="11">
        <f t="shared" ref="L15:L20" si="14">K15/1.2</f>
        <v>0</v>
      </c>
      <c r="M15" s="11">
        <f t="shared" ref="M15:M20" si="15">L15*20/100</f>
        <v>0</v>
      </c>
      <c r="N15" s="16">
        <v>3000</v>
      </c>
      <c r="O15" s="16">
        <f>34620+47275</f>
        <v>81895</v>
      </c>
      <c r="P15" s="11">
        <v>0</v>
      </c>
      <c r="Q15" s="11">
        <v>0</v>
      </c>
      <c r="R15" s="16">
        <f>38070+23605</f>
        <v>61675</v>
      </c>
      <c r="S15" s="12"/>
    </row>
    <row r="16" spans="1:19" x14ac:dyDescent="0.3">
      <c r="A16" s="3">
        <v>45730</v>
      </c>
      <c r="B16" s="16">
        <f>48160+65040</f>
        <v>113200</v>
      </c>
      <c r="C16" s="11">
        <f t="shared" si="8"/>
        <v>102909.0909090909</v>
      </c>
      <c r="D16" s="11">
        <f t="shared" si="9"/>
        <v>10290.90909090909</v>
      </c>
      <c r="E16" s="16">
        <f>890+1990</f>
        <v>2880</v>
      </c>
      <c r="F16" s="11">
        <f t="shared" si="10"/>
        <v>2618.181818181818</v>
      </c>
      <c r="G16" s="11">
        <f t="shared" si="11"/>
        <v>261.81818181818181</v>
      </c>
      <c r="H16" s="16">
        <v>500</v>
      </c>
      <c r="I16" s="11">
        <f t="shared" si="12"/>
        <v>416.66666666666669</v>
      </c>
      <c r="J16" s="11">
        <f t="shared" si="13"/>
        <v>83.333333333333343</v>
      </c>
      <c r="K16" s="11">
        <v>0</v>
      </c>
      <c r="L16" s="11">
        <f t="shared" si="14"/>
        <v>0</v>
      </c>
      <c r="M16" s="11">
        <f t="shared" si="15"/>
        <v>0</v>
      </c>
      <c r="N16" s="16">
        <v>3270</v>
      </c>
      <c r="O16" s="16">
        <f>49050+64260</f>
        <v>113310</v>
      </c>
      <c r="P16" s="11">
        <v>0</v>
      </c>
      <c r="Q16" s="11">
        <v>0</v>
      </c>
      <c r="R16" s="16">
        <v>16500</v>
      </c>
      <c r="S16" s="22" t="s">
        <v>23</v>
      </c>
    </row>
    <row r="17" spans="1:19" x14ac:dyDescent="0.3">
      <c r="A17" s="3">
        <v>45731</v>
      </c>
      <c r="B17" s="16">
        <f>42095+85575</f>
        <v>127670</v>
      </c>
      <c r="C17" s="11">
        <f t="shared" si="8"/>
        <v>116063.63636363635</v>
      </c>
      <c r="D17" s="11">
        <f t="shared" si="9"/>
        <v>11606.363636363636</v>
      </c>
      <c r="E17" s="16">
        <f>895+1735</f>
        <v>2630</v>
      </c>
      <c r="F17" s="11">
        <f t="shared" si="10"/>
        <v>2390.9090909090905</v>
      </c>
      <c r="G17" s="11">
        <f t="shared" si="11"/>
        <v>239.09090909090904</v>
      </c>
      <c r="H17" s="16">
        <v>175</v>
      </c>
      <c r="I17" s="11">
        <f t="shared" si="12"/>
        <v>145.83333333333334</v>
      </c>
      <c r="J17" s="11">
        <f t="shared" si="13"/>
        <v>29.166666666666671</v>
      </c>
      <c r="K17" s="11">
        <v>0</v>
      </c>
      <c r="L17" s="11">
        <f t="shared" si="14"/>
        <v>0</v>
      </c>
      <c r="M17" s="11">
        <f t="shared" si="15"/>
        <v>0</v>
      </c>
      <c r="N17" s="16">
        <f>4500</f>
        <v>4500</v>
      </c>
      <c r="O17" s="16">
        <f>38490+87485-1350</f>
        <v>124625</v>
      </c>
      <c r="P17" s="16">
        <v>1350</v>
      </c>
      <c r="Q17" s="16">
        <v>15000</v>
      </c>
      <c r="R17" s="16">
        <f>15000+10920</f>
        <v>25920</v>
      </c>
      <c r="S17" s="12"/>
    </row>
    <row r="18" spans="1:19" x14ac:dyDescent="0.3">
      <c r="A18" s="3">
        <v>45732</v>
      </c>
      <c r="B18" s="16">
        <f>56892.5+72630</f>
        <v>129522.5</v>
      </c>
      <c r="C18" s="11">
        <f t="shared" si="8"/>
        <v>117747.72727272726</v>
      </c>
      <c r="D18" s="11">
        <f t="shared" si="9"/>
        <v>11774.772727272728</v>
      </c>
      <c r="E18" s="16">
        <f>2600+1290</f>
        <v>3890</v>
      </c>
      <c r="F18" s="11">
        <f t="shared" si="10"/>
        <v>3536.363636363636</v>
      </c>
      <c r="G18" s="11">
        <f t="shared" si="11"/>
        <v>353.63636363636363</v>
      </c>
      <c r="H18" s="16">
        <v>800</v>
      </c>
      <c r="I18" s="11">
        <f t="shared" si="12"/>
        <v>666.66666666666674</v>
      </c>
      <c r="J18" s="11">
        <f t="shared" si="13"/>
        <v>133.33333333333337</v>
      </c>
      <c r="K18" s="11">
        <v>0</v>
      </c>
      <c r="L18" s="11">
        <f t="shared" si="14"/>
        <v>0</v>
      </c>
      <c r="M18" s="11">
        <f t="shared" si="15"/>
        <v>0</v>
      </c>
      <c r="N18" s="16">
        <f>3920</f>
        <v>3920</v>
      </c>
      <c r="O18" s="16">
        <f>55572.5+74720-3280</f>
        <v>127012.5</v>
      </c>
      <c r="P18" s="16">
        <v>3280</v>
      </c>
      <c r="Q18" s="11">
        <v>0</v>
      </c>
      <c r="R18" s="16">
        <f>9000+12000+30840</f>
        <v>51840</v>
      </c>
      <c r="S18" s="12"/>
    </row>
    <row r="19" spans="1:19" x14ac:dyDescent="0.3">
      <c r="A19" s="3">
        <v>45733</v>
      </c>
      <c r="B19" s="16">
        <f>17470+32042</f>
        <v>49512</v>
      </c>
      <c r="C19" s="11">
        <f t="shared" si="8"/>
        <v>45010.909090909088</v>
      </c>
      <c r="D19" s="11">
        <f t="shared" si="9"/>
        <v>4501.090909090909</v>
      </c>
      <c r="E19" s="16">
        <f>335+1958</f>
        <v>2293</v>
      </c>
      <c r="F19" s="11">
        <f t="shared" si="10"/>
        <v>2084.5454545454545</v>
      </c>
      <c r="G19" s="11">
        <f t="shared" si="11"/>
        <v>208.45454545454544</v>
      </c>
      <c r="H19" s="16">
        <v>1250</v>
      </c>
      <c r="I19" s="11">
        <f t="shared" si="12"/>
        <v>1041.6666666666667</v>
      </c>
      <c r="J19" s="11">
        <f t="shared" si="13"/>
        <v>208.33333333333337</v>
      </c>
      <c r="K19" s="11">
        <v>0</v>
      </c>
      <c r="L19" s="11">
        <f t="shared" si="14"/>
        <v>0</v>
      </c>
      <c r="M19" s="11">
        <f t="shared" si="15"/>
        <v>0</v>
      </c>
      <c r="N19" s="16">
        <v>3100</v>
      </c>
      <c r="O19" s="16">
        <f>14705+35250</f>
        <v>49955</v>
      </c>
      <c r="P19" s="11">
        <v>0</v>
      </c>
      <c r="Q19" s="11">
        <v>0</v>
      </c>
      <c r="R19" s="16">
        <f>11430+10500</f>
        <v>21930</v>
      </c>
      <c r="S19" s="12"/>
    </row>
    <row r="20" spans="1:19" x14ac:dyDescent="0.3">
      <c r="A20" s="3">
        <v>45734</v>
      </c>
      <c r="B20" s="16">
        <f>23040+19790</f>
        <v>42830</v>
      </c>
      <c r="C20" s="11">
        <f t="shared" si="8"/>
        <v>38936.363636363632</v>
      </c>
      <c r="D20" s="11">
        <f t="shared" si="9"/>
        <v>3893.6363636363635</v>
      </c>
      <c r="E20" s="16">
        <f>390+290</f>
        <v>680</v>
      </c>
      <c r="F20" s="11">
        <f t="shared" si="10"/>
        <v>618.18181818181813</v>
      </c>
      <c r="G20" s="11">
        <f t="shared" si="11"/>
        <v>61.818181818181813</v>
      </c>
      <c r="H20" s="11">
        <v>0</v>
      </c>
      <c r="I20" s="11">
        <f t="shared" si="12"/>
        <v>0</v>
      </c>
      <c r="J20" s="11">
        <f t="shared" si="13"/>
        <v>0</v>
      </c>
      <c r="K20" s="11">
        <v>0</v>
      </c>
      <c r="L20" s="11">
        <f t="shared" si="14"/>
        <v>0</v>
      </c>
      <c r="M20" s="11">
        <f t="shared" si="15"/>
        <v>0</v>
      </c>
      <c r="N20" s="16">
        <v>1500</v>
      </c>
      <c r="O20" s="16">
        <f>23430+18580</f>
        <v>42010</v>
      </c>
      <c r="P20" s="11">
        <v>0</v>
      </c>
      <c r="Q20" s="11">
        <v>0</v>
      </c>
      <c r="R20" s="11">
        <v>0</v>
      </c>
      <c r="S20" s="22" t="s">
        <v>24</v>
      </c>
    </row>
    <row r="21" spans="1:19" x14ac:dyDescent="0.3">
      <c r="A21" s="3">
        <v>45735</v>
      </c>
      <c r="B21" s="16">
        <f>15290+34380</f>
        <v>49670</v>
      </c>
      <c r="C21" s="11">
        <f t="shared" si="0"/>
        <v>45154.545454545449</v>
      </c>
      <c r="D21" s="11">
        <f t="shared" si="1"/>
        <v>4515.454545454545</v>
      </c>
      <c r="E21" s="16">
        <f>260+500</f>
        <v>760</v>
      </c>
      <c r="F21" s="11">
        <f t="shared" si="2"/>
        <v>690.90909090909088</v>
      </c>
      <c r="G21" s="11">
        <f t="shared" si="3"/>
        <v>69.090909090909093</v>
      </c>
      <c r="H21" s="16">
        <v>300</v>
      </c>
      <c r="I21" s="11">
        <f t="shared" si="4"/>
        <v>250</v>
      </c>
      <c r="J21" s="11">
        <f t="shared" si="5"/>
        <v>50</v>
      </c>
      <c r="K21" s="11">
        <v>0</v>
      </c>
      <c r="L21" s="11">
        <f t="shared" si="6"/>
        <v>0</v>
      </c>
      <c r="M21" s="11">
        <f t="shared" si="7"/>
        <v>0</v>
      </c>
      <c r="N21" s="16">
        <v>4500</v>
      </c>
      <c r="O21" s="16">
        <f>11350+34880</f>
        <v>46230</v>
      </c>
      <c r="P21" s="11">
        <v>0</v>
      </c>
      <c r="Q21" s="11">
        <v>0</v>
      </c>
      <c r="R21" s="16">
        <f>55100+12000</f>
        <v>67100</v>
      </c>
      <c r="S21" s="12"/>
    </row>
    <row r="22" spans="1:19" x14ac:dyDescent="0.3">
      <c r="A22" s="3">
        <v>45736</v>
      </c>
      <c r="B22" s="16">
        <f>63194+38910</f>
        <v>102104</v>
      </c>
      <c r="C22" s="11">
        <f t="shared" si="0"/>
        <v>92821.818181818177</v>
      </c>
      <c r="D22" s="11">
        <f t="shared" si="1"/>
        <v>9282.181818181818</v>
      </c>
      <c r="E22" s="16">
        <f>605+660</f>
        <v>1265</v>
      </c>
      <c r="F22" s="11">
        <f t="shared" si="2"/>
        <v>1150</v>
      </c>
      <c r="G22" s="11">
        <f t="shared" si="3"/>
        <v>115</v>
      </c>
      <c r="H22" s="16">
        <f>900+3200</f>
        <v>4100</v>
      </c>
      <c r="I22" s="11">
        <f t="shared" si="4"/>
        <v>3416.666666666667</v>
      </c>
      <c r="J22" s="11">
        <f t="shared" si="5"/>
        <v>683.33333333333348</v>
      </c>
      <c r="K22" s="11">
        <v>0</v>
      </c>
      <c r="L22" s="11">
        <f t="shared" si="6"/>
        <v>0</v>
      </c>
      <c r="M22" s="11">
        <f t="shared" si="7"/>
        <v>0</v>
      </c>
      <c r="N22" s="16">
        <v>2500</v>
      </c>
      <c r="O22" s="16">
        <f>41270+63699-5605</f>
        <v>99364</v>
      </c>
      <c r="P22" s="16">
        <f>4005+1600</f>
        <v>5605</v>
      </c>
      <c r="Q22" s="11">
        <v>0</v>
      </c>
      <c r="R22" s="16">
        <f>4500+12000</f>
        <v>16500</v>
      </c>
      <c r="S22" s="12"/>
    </row>
    <row r="23" spans="1:19" x14ac:dyDescent="0.3">
      <c r="A23" s="3">
        <v>45737</v>
      </c>
      <c r="B23" s="16">
        <f>26435+82005</f>
        <v>108440</v>
      </c>
      <c r="C23" s="11">
        <f t="shared" si="0"/>
        <v>98581.818181818177</v>
      </c>
      <c r="D23" s="11">
        <f t="shared" si="1"/>
        <v>9858.181818181818</v>
      </c>
      <c r="E23" s="16">
        <v>880</v>
      </c>
      <c r="F23" s="11">
        <f t="shared" si="2"/>
        <v>799.99999999999989</v>
      </c>
      <c r="G23" s="11">
        <f t="shared" si="3"/>
        <v>79.999999999999986</v>
      </c>
      <c r="H23" s="11">
        <v>0</v>
      </c>
      <c r="I23" s="11">
        <f t="shared" si="4"/>
        <v>0</v>
      </c>
      <c r="J23" s="11">
        <f t="shared" si="5"/>
        <v>0</v>
      </c>
      <c r="K23" s="11">
        <v>0</v>
      </c>
      <c r="L23" s="11">
        <f t="shared" si="6"/>
        <v>0</v>
      </c>
      <c r="M23" s="11">
        <f t="shared" si="7"/>
        <v>0</v>
      </c>
      <c r="N23" s="11">
        <v>0</v>
      </c>
      <c r="O23" s="16">
        <f>27315+82005-6000</f>
        <v>103320</v>
      </c>
      <c r="P23" s="16">
        <v>6000</v>
      </c>
      <c r="Q23" s="11">
        <v>0</v>
      </c>
      <c r="R23" s="16">
        <v>10000</v>
      </c>
      <c r="S23" s="12"/>
    </row>
    <row r="24" spans="1:19" x14ac:dyDescent="0.3">
      <c r="A24" s="3">
        <v>45738</v>
      </c>
      <c r="B24" s="16">
        <f>54470+101645</f>
        <v>156115</v>
      </c>
      <c r="C24" s="11">
        <f t="shared" si="0"/>
        <v>141922.72727272726</v>
      </c>
      <c r="D24" s="11">
        <f t="shared" si="1"/>
        <v>14192.272727272728</v>
      </c>
      <c r="E24" s="16">
        <f>180+300</f>
        <v>480</v>
      </c>
      <c r="F24" s="11">
        <f t="shared" si="2"/>
        <v>436.36363636363632</v>
      </c>
      <c r="G24" s="11">
        <f t="shared" si="3"/>
        <v>43.636363636363633</v>
      </c>
      <c r="H24" s="16">
        <v>300</v>
      </c>
      <c r="I24" s="11">
        <f t="shared" si="4"/>
        <v>250</v>
      </c>
      <c r="J24" s="11">
        <f t="shared" si="5"/>
        <v>50</v>
      </c>
      <c r="K24" s="11">
        <v>0</v>
      </c>
      <c r="L24" s="11">
        <f t="shared" si="6"/>
        <v>0</v>
      </c>
      <c r="M24" s="11">
        <f t="shared" si="7"/>
        <v>0</v>
      </c>
      <c r="N24" s="16">
        <f>3290+1915</f>
        <v>5205</v>
      </c>
      <c r="O24" s="16">
        <f>51660+100030-895</f>
        <v>150795</v>
      </c>
      <c r="P24" s="16">
        <v>895</v>
      </c>
      <c r="Q24" s="16">
        <v>540</v>
      </c>
      <c r="R24" s="16">
        <f>9000+12540</f>
        <v>21540</v>
      </c>
      <c r="S24" s="12"/>
    </row>
    <row r="25" spans="1:19" x14ac:dyDescent="0.3">
      <c r="A25" s="3">
        <v>45739</v>
      </c>
      <c r="B25" s="16">
        <f>73940+40660</f>
        <v>114600</v>
      </c>
      <c r="C25" s="11">
        <f t="shared" si="0"/>
        <v>104181.81818181818</v>
      </c>
      <c r="D25" s="11">
        <f t="shared" si="1"/>
        <v>10418.181818181818</v>
      </c>
      <c r="E25" s="16">
        <v>2220</v>
      </c>
      <c r="F25" s="11">
        <f t="shared" si="2"/>
        <v>2018.181818181818</v>
      </c>
      <c r="G25" s="11">
        <f t="shared" si="3"/>
        <v>201.81818181818181</v>
      </c>
      <c r="H25" s="11">
        <v>0</v>
      </c>
      <c r="I25" s="11">
        <f t="shared" si="4"/>
        <v>0</v>
      </c>
      <c r="J25" s="11">
        <f t="shared" si="5"/>
        <v>0</v>
      </c>
      <c r="K25" s="11">
        <v>0</v>
      </c>
      <c r="L25" s="11">
        <f t="shared" si="6"/>
        <v>0</v>
      </c>
      <c r="M25" s="11">
        <f t="shared" si="7"/>
        <v>0</v>
      </c>
      <c r="N25" s="16">
        <f>10405+3000</f>
        <v>13405</v>
      </c>
      <c r="O25" s="16">
        <f>65755+37660</f>
        <v>103415</v>
      </c>
      <c r="P25" s="11">
        <v>0</v>
      </c>
      <c r="Q25" s="11">
        <v>0</v>
      </c>
      <c r="R25" s="16">
        <f>13585+9620</f>
        <v>23205</v>
      </c>
      <c r="S25" s="12"/>
    </row>
    <row r="26" spans="1:19" x14ac:dyDescent="0.3">
      <c r="A26" s="3">
        <v>45740</v>
      </c>
      <c r="B26" s="16">
        <f>25620+11035.5</f>
        <v>36655.5</v>
      </c>
      <c r="C26" s="11">
        <f t="shared" si="0"/>
        <v>33323.181818181816</v>
      </c>
      <c r="D26" s="11">
        <f t="shared" si="1"/>
        <v>3332.318181818182</v>
      </c>
      <c r="E26" s="16">
        <f>575+100</f>
        <v>675</v>
      </c>
      <c r="F26" s="11">
        <f t="shared" si="2"/>
        <v>613.63636363636363</v>
      </c>
      <c r="G26" s="11">
        <f t="shared" si="3"/>
        <v>61.36363636363636</v>
      </c>
      <c r="H26" s="11">
        <v>0</v>
      </c>
      <c r="I26" s="11">
        <f t="shared" si="4"/>
        <v>0</v>
      </c>
      <c r="J26" s="11">
        <f t="shared" si="5"/>
        <v>0</v>
      </c>
      <c r="K26" s="11">
        <v>0</v>
      </c>
      <c r="L26" s="11">
        <f t="shared" si="6"/>
        <v>0</v>
      </c>
      <c r="M26" s="11">
        <f t="shared" si="7"/>
        <v>0</v>
      </c>
      <c r="N26" s="11">
        <v>0</v>
      </c>
      <c r="O26" s="16">
        <f>26195+11135.5</f>
        <v>37330.5</v>
      </c>
      <c r="P26" s="11">
        <v>0</v>
      </c>
      <c r="Q26" s="11">
        <v>0</v>
      </c>
      <c r="R26" s="16">
        <f>21895+18150</f>
        <v>40045</v>
      </c>
      <c r="S26" s="12"/>
    </row>
    <row r="27" spans="1:19" x14ac:dyDescent="0.3">
      <c r="A27" s="3">
        <v>45741</v>
      </c>
      <c r="B27" s="16">
        <f>54510+30300</f>
        <v>84810</v>
      </c>
      <c r="C27" s="11">
        <f t="shared" si="0"/>
        <v>77100</v>
      </c>
      <c r="D27" s="11">
        <f t="shared" si="1"/>
        <v>7710</v>
      </c>
      <c r="E27" s="11">
        <v>0</v>
      </c>
      <c r="F27" s="11">
        <f t="shared" si="2"/>
        <v>0</v>
      </c>
      <c r="G27" s="11">
        <f t="shared" si="3"/>
        <v>0</v>
      </c>
      <c r="H27" s="16">
        <v>1300</v>
      </c>
      <c r="I27" s="11">
        <f t="shared" si="4"/>
        <v>1083.3333333333335</v>
      </c>
      <c r="J27" s="11">
        <f t="shared" si="5"/>
        <v>216.66666666666671</v>
      </c>
      <c r="K27" s="11">
        <v>0</v>
      </c>
      <c r="L27" s="11">
        <f t="shared" si="6"/>
        <v>0</v>
      </c>
      <c r="M27" s="11">
        <f t="shared" si="7"/>
        <v>0</v>
      </c>
      <c r="N27" s="11">
        <v>0</v>
      </c>
      <c r="O27" s="16">
        <f>54510+31600</f>
        <v>86110</v>
      </c>
      <c r="P27" s="11">
        <v>0</v>
      </c>
      <c r="Q27" s="11">
        <v>0</v>
      </c>
      <c r="R27" s="16">
        <f>36990</f>
        <v>36990</v>
      </c>
      <c r="S27" s="22" t="s">
        <v>25</v>
      </c>
    </row>
    <row r="28" spans="1:19" x14ac:dyDescent="0.3">
      <c r="A28" s="3">
        <v>45742</v>
      </c>
      <c r="B28" s="16">
        <f>28930+34175</f>
        <v>63105</v>
      </c>
      <c r="C28" s="11">
        <f t="shared" si="0"/>
        <v>57368.181818181816</v>
      </c>
      <c r="D28" s="11">
        <f t="shared" si="1"/>
        <v>5736.8181818181811</v>
      </c>
      <c r="E28" s="11">
        <v>0</v>
      </c>
      <c r="F28" s="11">
        <f t="shared" si="2"/>
        <v>0</v>
      </c>
      <c r="G28" s="11">
        <f t="shared" si="3"/>
        <v>0</v>
      </c>
      <c r="H28" s="11">
        <v>0</v>
      </c>
      <c r="I28" s="11">
        <f t="shared" si="4"/>
        <v>0</v>
      </c>
      <c r="J28" s="11">
        <f t="shared" si="5"/>
        <v>0</v>
      </c>
      <c r="K28" s="11">
        <v>0</v>
      </c>
      <c r="L28" s="11">
        <f t="shared" si="6"/>
        <v>0</v>
      </c>
      <c r="M28" s="11">
        <f t="shared" si="7"/>
        <v>0</v>
      </c>
      <c r="N28" s="11">
        <v>0</v>
      </c>
      <c r="O28" s="16">
        <f>28930+34175</f>
        <v>63105</v>
      </c>
      <c r="P28" s="11">
        <v>0</v>
      </c>
      <c r="Q28" s="11">
        <v>0</v>
      </c>
      <c r="R28" s="16">
        <v>13200</v>
      </c>
      <c r="S28" s="12"/>
    </row>
    <row r="29" spans="1:19" x14ac:dyDescent="0.3">
      <c r="A29" s="3">
        <v>45743</v>
      </c>
      <c r="B29" s="16">
        <f>43520+57045</f>
        <v>100565</v>
      </c>
      <c r="C29" s="11">
        <f t="shared" si="0"/>
        <v>91422.727272727265</v>
      </c>
      <c r="D29" s="11">
        <f t="shared" si="1"/>
        <v>9142.2727272727279</v>
      </c>
      <c r="E29" s="16">
        <v>690</v>
      </c>
      <c r="F29" s="11">
        <f t="shared" si="2"/>
        <v>627.27272727272725</v>
      </c>
      <c r="G29" s="11">
        <f t="shared" si="3"/>
        <v>62.72727272727272</v>
      </c>
      <c r="H29" s="16">
        <v>60</v>
      </c>
      <c r="I29" s="11">
        <f t="shared" si="4"/>
        <v>50</v>
      </c>
      <c r="J29" s="11">
        <f t="shared" si="5"/>
        <v>10</v>
      </c>
      <c r="K29" s="11">
        <v>0</v>
      </c>
      <c r="L29" s="11">
        <f t="shared" si="6"/>
        <v>0</v>
      </c>
      <c r="M29" s="11">
        <f t="shared" si="7"/>
        <v>0</v>
      </c>
      <c r="N29" s="16">
        <v>4920</v>
      </c>
      <c r="O29" s="16">
        <f>43520+52875</f>
        <v>96395</v>
      </c>
      <c r="P29" s="11">
        <v>0</v>
      </c>
      <c r="Q29" s="16">
        <v>1080</v>
      </c>
      <c r="R29" s="11">
        <v>0</v>
      </c>
      <c r="S29" s="12"/>
    </row>
    <row r="30" spans="1:19" x14ac:dyDescent="0.3">
      <c r="A30" s="3">
        <v>45744</v>
      </c>
      <c r="B30" s="16">
        <f>32350+48910</f>
        <v>81260</v>
      </c>
      <c r="C30" s="11">
        <f t="shared" si="0"/>
        <v>73872.727272727265</v>
      </c>
      <c r="D30" s="11">
        <f t="shared" si="1"/>
        <v>7387.272727272727</v>
      </c>
      <c r="E30" s="16">
        <v>200</v>
      </c>
      <c r="F30" s="11">
        <f t="shared" si="2"/>
        <v>181.81818181818181</v>
      </c>
      <c r="G30" s="11">
        <f t="shared" si="3"/>
        <v>18.18181818181818</v>
      </c>
      <c r="H30" s="11">
        <v>0</v>
      </c>
      <c r="I30" s="11">
        <f t="shared" si="4"/>
        <v>0</v>
      </c>
      <c r="J30" s="11">
        <f t="shared" si="5"/>
        <v>0</v>
      </c>
      <c r="K30" s="11">
        <v>0</v>
      </c>
      <c r="L30" s="11">
        <f t="shared" si="6"/>
        <v>0</v>
      </c>
      <c r="M30" s="11">
        <f t="shared" si="7"/>
        <v>0</v>
      </c>
      <c r="N30" s="16">
        <v>200</v>
      </c>
      <c r="O30" s="16">
        <f>32350+48910</f>
        <v>81260</v>
      </c>
      <c r="P30" s="11">
        <v>0</v>
      </c>
      <c r="Q30" s="11">
        <v>0</v>
      </c>
      <c r="R30" s="16">
        <v>38180</v>
      </c>
      <c r="S30" s="12"/>
    </row>
    <row r="31" spans="1:19" x14ac:dyDescent="0.3">
      <c r="A31" s="3">
        <v>45745</v>
      </c>
      <c r="B31" s="16">
        <f>30270+35390</f>
        <v>65660</v>
      </c>
      <c r="C31" s="11">
        <f t="shared" si="0"/>
        <v>59690.909090909088</v>
      </c>
      <c r="D31" s="11">
        <f t="shared" si="1"/>
        <v>5969.0909090909081</v>
      </c>
      <c r="E31" s="16">
        <f>1790+1970</f>
        <v>3760</v>
      </c>
      <c r="F31" s="11">
        <f t="shared" si="2"/>
        <v>3418.181818181818</v>
      </c>
      <c r="G31" s="11">
        <f t="shared" si="3"/>
        <v>341.81818181818176</v>
      </c>
      <c r="H31" s="11">
        <v>0</v>
      </c>
      <c r="I31" s="11">
        <f t="shared" si="4"/>
        <v>0</v>
      </c>
      <c r="J31" s="11">
        <f t="shared" si="5"/>
        <v>0</v>
      </c>
      <c r="K31" s="11">
        <v>0</v>
      </c>
      <c r="L31" s="11">
        <f t="shared" si="6"/>
        <v>0</v>
      </c>
      <c r="M31" s="11">
        <f t="shared" si="7"/>
        <v>0</v>
      </c>
      <c r="N31" s="16">
        <v>2900</v>
      </c>
      <c r="O31" s="16">
        <f>32060+34460</f>
        <v>66520</v>
      </c>
      <c r="P31" s="11">
        <v>0</v>
      </c>
      <c r="Q31" s="11">
        <v>0</v>
      </c>
      <c r="R31" s="16">
        <f>3000+13595</f>
        <v>16595</v>
      </c>
      <c r="S31" s="12"/>
    </row>
    <row r="32" spans="1:19" x14ac:dyDescent="0.3">
      <c r="A32" s="3">
        <v>45746</v>
      </c>
      <c r="B32" s="16">
        <f>32247.5+38615</f>
        <v>70862.5</v>
      </c>
      <c r="C32" s="11">
        <f t="shared" ref="C32" si="16">B32/1.1</f>
        <v>64420.454545454537</v>
      </c>
      <c r="D32" s="11">
        <f t="shared" ref="D32" si="17">C32*10/100</f>
        <v>6442.045454545454</v>
      </c>
      <c r="E32" s="11">
        <v>0</v>
      </c>
      <c r="F32" s="11">
        <f t="shared" ref="F32" si="18">E32/1.1</f>
        <v>0</v>
      </c>
      <c r="G32" s="11">
        <f t="shared" ref="G32" si="19">F32*10/100</f>
        <v>0</v>
      </c>
      <c r="H32" s="11">
        <v>0</v>
      </c>
      <c r="I32" s="11">
        <f t="shared" ref="I32" si="20">H32/1.2</f>
        <v>0</v>
      </c>
      <c r="J32" s="11">
        <f t="shared" ref="J32" si="21">I32*20/100</f>
        <v>0</v>
      </c>
      <c r="K32" s="11">
        <v>0</v>
      </c>
      <c r="L32" s="11">
        <f t="shared" ref="L32" si="22">K32/1.2</f>
        <v>0</v>
      </c>
      <c r="M32" s="11">
        <f t="shared" ref="M32" si="23">L32*20/100</f>
        <v>0</v>
      </c>
      <c r="N32" s="16">
        <v>780</v>
      </c>
      <c r="O32" s="16">
        <f>32247.5+35915</f>
        <v>68162.5</v>
      </c>
      <c r="P32" s="16">
        <v>1920</v>
      </c>
      <c r="Q32" s="11">
        <v>0</v>
      </c>
      <c r="R32" s="11">
        <v>0</v>
      </c>
      <c r="S32" s="12"/>
    </row>
    <row r="33" spans="1:19" x14ac:dyDescent="0.3">
      <c r="A33" s="3">
        <v>45747</v>
      </c>
      <c r="B33" s="16">
        <f>91370+92730</f>
        <v>184100</v>
      </c>
      <c r="C33" s="11">
        <f t="shared" si="0"/>
        <v>167363.63636363635</v>
      </c>
      <c r="D33" s="11">
        <f t="shared" si="1"/>
        <v>16736.363636363636</v>
      </c>
      <c r="E33" s="16">
        <f>1790</f>
        <v>1790</v>
      </c>
      <c r="F33" s="11">
        <f t="shared" si="2"/>
        <v>1627.2727272727273</v>
      </c>
      <c r="G33" s="11">
        <f t="shared" si="3"/>
        <v>162.72727272727272</v>
      </c>
      <c r="H33" s="16">
        <v>250</v>
      </c>
      <c r="I33" s="11">
        <f t="shared" si="4"/>
        <v>208.33333333333334</v>
      </c>
      <c r="J33" s="11">
        <f t="shared" si="5"/>
        <v>41.666666666666671</v>
      </c>
      <c r="K33" s="11">
        <v>0</v>
      </c>
      <c r="L33" s="11">
        <f t="shared" si="6"/>
        <v>0</v>
      </c>
      <c r="M33" s="11">
        <f t="shared" si="7"/>
        <v>0</v>
      </c>
      <c r="N33" s="16">
        <f>15665</f>
        <v>15665</v>
      </c>
      <c r="O33" s="16">
        <f>77065+92680-3580</f>
        <v>166165</v>
      </c>
      <c r="P33" s="16">
        <f>3580+730</f>
        <v>4310</v>
      </c>
      <c r="Q33" s="11">
        <v>0</v>
      </c>
      <c r="R33" s="16">
        <v>13985</v>
      </c>
      <c r="S33" s="12"/>
    </row>
    <row r="34" spans="1:19" ht="15.6" x14ac:dyDescent="0.3">
      <c r="B34" s="20">
        <f>SUM(B3:B33)</f>
        <v>2802661.5</v>
      </c>
      <c r="C34" s="20"/>
      <c r="D34" s="20"/>
      <c r="E34" s="20">
        <f>SUM(E3:E33)</f>
        <v>59708</v>
      </c>
      <c r="F34" s="20"/>
      <c r="G34" s="20"/>
      <c r="H34" s="20">
        <f>SUM(H3:H33)</f>
        <v>11120</v>
      </c>
      <c r="I34" s="20"/>
      <c r="J34" s="20"/>
      <c r="K34" s="20">
        <f>SUM(K3:K33)</f>
        <v>640</v>
      </c>
      <c r="L34" s="20"/>
      <c r="M34" s="20"/>
      <c r="N34" s="20">
        <f>SUM(N3:N33)</f>
        <v>138275</v>
      </c>
      <c r="O34" s="20">
        <f>SUM(O3:O33)</f>
        <v>2697454.5</v>
      </c>
      <c r="P34" s="20">
        <f>SUM(P3:P33)</f>
        <v>38400</v>
      </c>
      <c r="Q34" s="20">
        <f>SUM(Q3:Q33)</f>
        <v>26620</v>
      </c>
      <c r="R34" s="20">
        <f>SUM(R3:R33)</f>
        <v>675480</v>
      </c>
      <c r="S34" s="21"/>
    </row>
    <row r="36" spans="1:19" x14ac:dyDescent="0.3"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</row>
    <row r="38" spans="1:19" x14ac:dyDescent="0.3">
      <c r="B38" s="18"/>
      <c r="E38" s="18"/>
      <c r="H38" s="18"/>
      <c r="K38" s="18"/>
      <c r="N38" s="18"/>
    </row>
  </sheetData>
  <mergeCells count="1">
    <mergeCell ref="Q1:R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zoomScaleNormal="100" workbookViewId="0">
      <selection activeCell="R37" sqref="R37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23.6640625" style="4" bestFit="1" customWidth="1"/>
    <col min="20" max="20" width="11.5546875" bestFit="1" customWidth="1"/>
    <col min="21" max="21" width="12.88671875" style="26" bestFit="1" customWidth="1"/>
    <col min="22" max="22" width="16.88671875" customWidth="1"/>
  </cols>
  <sheetData>
    <row r="1" spans="1:22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65" t="s">
        <v>8</v>
      </c>
      <c r="R1" s="65"/>
      <c r="S1" s="17" t="s">
        <v>9</v>
      </c>
    </row>
    <row r="2" spans="1:22" ht="15" thickBot="1" x14ac:dyDescent="0.35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22" ht="15" thickBot="1" x14ac:dyDescent="0.35">
      <c r="A3" s="3">
        <v>45748</v>
      </c>
      <c r="B3" s="16">
        <f>128215+137865</f>
        <v>266080</v>
      </c>
      <c r="C3" s="11">
        <f>B3/1.1</f>
        <v>241890.90909090906</v>
      </c>
      <c r="D3" s="11">
        <f>C3*10/100</f>
        <v>24189.090909090908</v>
      </c>
      <c r="E3" s="16">
        <f>8055</f>
        <v>8055</v>
      </c>
      <c r="F3" s="11">
        <f>E3/1.1</f>
        <v>7322.7272727272721</v>
      </c>
      <c r="G3" s="11">
        <f>F3*10/100</f>
        <v>732.27272727272725</v>
      </c>
      <c r="H3" s="11">
        <v>0</v>
      </c>
      <c r="I3" s="11">
        <f>H3/1.2</f>
        <v>0</v>
      </c>
      <c r="J3" s="11">
        <f>I3*20/100</f>
        <v>0</v>
      </c>
      <c r="K3" s="11">
        <v>0</v>
      </c>
      <c r="L3" s="11">
        <f>K3/1.2</f>
        <v>0</v>
      </c>
      <c r="M3" s="11">
        <f>L3*20/100</f>
        <v>0</v>
      </c>
      <c r="N3" s="16">
        <f>2600+31810</f>
        <v>34410</v>
      </c>
      <c r="O3" s="16">
        <f>125615+114110</f>
        <v>239725</v>
      </c>
      <c r="P3" s="11">
        <v>0</v>
      </c>
      <c r="Q3" s="11">
        <v>0</v>
      </c>
      <c r="R3" s="16">
        <f>4475+2040</f>
        <v>6515</v>
      </c>
      <c r="S3" s="12"/>
      <c r="T3" s="29">
        <v>45748</v>
      </c>
      <c r="U3" s="33">
        <v>280650</v>
      </c>
      <c r="V3" s="34">
        <f>+N3+O3+P3+Q3+R3-U3</f>
        <v>0</v>
      </c>
    </row>
    <row r="4" spans="1:22" ht="15" thickBot="1" x14ac:dyDescent="0.35">
      <c r="A4" s="3">
        <v>45749</v>
      </c>
      <c r="B4" s="16">
        <f>39710+41460</f>
        <v>81170</v>
      </c>
      <c r="C4" s="11">
        <f t="shared" ref="C4:C32" si="0">B4/1.1</f>
        <v>73790.909090909088</v>
      </c>
      <c r="D4" s="11">
        <f t="shared" ref="D4:D32" si="1">C4*10/100</f>
        <v>7379.0909090909081</v>
      </c>
      <c r="E4" s="11">
        <v>0</v>
      </c>
      <c r="F4" s="11">
        <f t="shared" ref="F4:F32" si="2">E4/1.1</f>
        <v>0</v>
      </c>
      <c r="G4" s="11">
        <f t="shared" ref="G4:G32" si="3">F4*10/100</f>
        <v>0</v>
      </c>
      <c r="H4" s="11">
        <v>0</v>
      </c>
      <c r="I4" s="11">
        <f t="shared" ref="I4:I32" si="4">H4/1.2</f>
        <v>0</v>
      </c>
      <c r="J4" s="11">
        <f t="shared" ref="J4:J32" si="5">I4*20/100</f>
        <v>0</v>
      </c>
      <c r="K4" s="11">
        <v>0</v>
      </c>
      <c r="L4" s="11">
        <f t="shared" ref="L4:L32" si="6">K4/1.2</f>
        <v>0</v>
      </c>
      <c r="M4" s="11">
        <f t="shared" ref="M4:M32" si="7">L4*20/100</f>
        <v>0</v>
      </c>
      <c r="N4" s="16">
        <f>4485+12135</f>
        <v>16620</v>
      </c>
      <c r="O4" s="16">
        <f>35225+29325</f>
        <v>64550</v>
      </c>
      <c r="P4" s="11">
        <v>0</v>
      </c>
      <c r="Q4" s="11">
        <v>0</v>
      </c>
      <c r="R4" s="11">
        <v>0</v>
      </c>
      <c r="S4" s="12"/>
      <c r="T4" s="29">
        <v>45749</v>
      </c>
      <c r="U4" s="33">
        <v>81170</v>
      </c>
      <c r="V4" s="34">
        <f t="shared" ref="V4:V32" si="8">+N4+O4+P4+Q4+R4-U4</f>
        <v>0</v>
      </c>
    </row>
    <row r="5" spans="1:22" ht="15" thickBot="1" x14ac:dyDescent="0.35">
      <c r="A5" s="3">
        <v>45750</v>
      </c>
      <c r="B5" s="16">
        <f>31825+76685</f>
        <v>108510</v>
      </c>
      <c r="C5" s="11">
        <f t="shared" si="0"/>
        <v>98645.454545454544</v>
      </c>
      <c r="D5" s="11">
        <f t="shared" si="1"/>
        <v>9864.545454545454</v>
      </c>
      <c r="E5" s="16">
        <v>270</v>
      </c>
      <c r="F5" s="11">
        <f t="shared" si="2"/>
        <v>245.45454545454544</v>
      </c>
      <c r="G5" s="11">
        <f t="shared" si="3"/>
        <v>24.545454545454547</v>
      </c>
      <c r="H5" s="16">
        <v>200</v>
      </c>
      <c r="I5" s="11">
        <f t="shared" si="4"/>
        <v>166.66666666666669</v>
      </c>
      <c r="J5" s="11">
        <f t="shared" si="5"/>
        <v>33.333333333333343</v>
      </c>
      <c r="K5" s="11">
        <v>0</v>
      </c>
      <c r="L5" s="11">
        <f t="shared" si="6"/>
        <v>0</v>
      </c>
      <c r="M5" s="11">
        <f t="shared" si="7"/>
        <v>0</v>
      </c>
      <c r="N5" s="16">
        <v>4905</v>
      </c>
      <c r="O5" s="16">
        <f>31825+67425</f>
        <v>99250</v>
      </c>
      <c r="P5" s="16">
        <v>4825</v>
      </c>
      <c r="Q5" s="11">
        <v>0</v>
      </c>
      <c r="R5" s="11">
        <v>0</v>
      </c>
      <c r="S5" s="12"/>
      <c r="T5" s="29">
        <v>45750</v>
      </c>
      <c r="U5" s="33">
        <v>108980</v>
      </c>
      <c r="V5" s="34">
        <f t="shared" si="8"/>
        <v>0</v>
      </c>
    </row>
    <row r="6" spans="1:22" ht="29.4" thickBot="1" x14ac:dyDescent="0.35">
      <c r="A6" s="3">
        <v>45751</v>
      </c>
      <c r="B6" s="16">
        <f>17892+92045.5</f>
        <v>109937.5</v>
      </c>
      <c r="C6" s="11">
        <f t="shared" si="0"/>
        <v>99943.181818181809</v>
      </c>
      <c r="D6" s="11">
        <f t="shared" si="1"/>
        <v>9994.318181818182</v>
      </c>
      <c r="E6" s="16">
        <v>250</v>
      </c>
      <c r="F6" s="11">
        <f t="shared" si="2"/>
        <v>227.27272727272725</v>
      </c>
      <c r="G6" s="11">
        <f t="shared" si="3"/>
        <v>22.727272727272727</v>
      </c>
      <c r="H6" s="11">
        <v>0</v>
      </c>
      <c r="I6" s="11">
        <f t="shared" si="4"/>
        <v>0</v>
      </c>
      <c r="J6" s="11">
        <f t="shared" si="5"/>
        <v>0</v>
      </c>
      <c r="K6" s="11">
        <v>0</v>
      </c>
      <c r="L6" s="11">
        <f t="shared" si="6"/>
        <v>0</v>
      </c>
      <c r="M6" s="11">
        <f t="shared" si="7"/>
        <v>0</v>
      </c>
      <c r="N6" s="16">
        <f>2735+8150</f>
        <v>10885</v>
      </c>
      <c r="O6" s="16">
        <f>15157+84145.5</f>
        <v>99302.5</v>
      </c>
      <c r="P6" s="11">
        <v>0</v>
      </c>
      <c r="Q6" s="11">
        <v>0</v>
      </c>
      <c r="R6" s="16">
        <v>16750</v>
      </c>
      <c r="S6" s="19" t="s">
        <v>26</v>
      </c>
      <c r="T6" s="29">
        <v>45751</v>
      </c>
      <c r="U6" s="33">
        <v>135402.5</v>
      </c>
      <c r="V6" s="35">
        <f t="shared" si="8"/>
        <v>-8465</v>
      </c>
    </row>
    <row r="7" spans="1:22" ht="15" thickBot="1" x14ac:dyDescent="0.35">
      <c r="A7" s="3">
        <v>45752</v>
      </c>
      <c r="B7" s="16">
        <f>93320+105472.5</f>
        <v>198792.5</v>
      </c>
      <c r="C7" s="11">
        <f t="shared" si="0"/>
        <v>180720.45454545453</v>
      </c>
      <c r="D7" s="11">
        <f t="shared" si="1"/>
        <v>18072.045454545456</v>
      </c>
      <c r="E7" s="11">
        <v>0</v>
      </c>
      <c r="F7" s="11">
        <f t="shared" si="2"/>
        <v>0</v>
      </c>
      <c r="G7" s="11">
        <f t="shared" si="3"/>
        <v>0</v>
      </c>
      <c r="H7" s="11">
        <v>0</v>
      </c>
      <c r="I7" s="11">
        <f t="shared" si="4"/>
        <v>0</v>
      </c>
      <c r="J7" s="11">
        <f t="shared" si="5"/>
        <v>0</v>
      </c>
      <c r="K7" s="11">
        <v>0</v>
      </c>
      <c r="L7" s="11">
        <f t="shared" si="6"/>
        <v>0</v>
      </c>
      <c r="M7" s="11">
        <f t="shared" si="7"/>
        <v>0</v>
      </c>
      <c r="N7" s="16">
        <f>1070+2955</f>
        <v>4025</v>
      </c>
      <c r="O7" s="16">
        <f>83570+97537.5</f>
        <v>181107.5</v>
      </c>
      <c r="P7" s="16">
        <f>4980+8680</f>
        <v>13660</v>
      </c>
      <c r="Q7" s="11">
        <v>0</v>
      </c>
      <c r="R7" s="11">
        <v>0</v>
      </c>
      <c r="S7" s="19" t="s">
        <v>27</v>
      </c>
      <c r="T7" s="29">
        <v>45752</v>
      </c>
      <c r="U7" s="33">
        <v>208507.5</v>
      </c>
      <c r="V7" s="35">
        <f t="shared" si="8"/>
        <v>-9715</v>
      </c>
    </row>
    <row r="8" spans="1:22" ht="15" thickBot="1" x14ac:dyDescent="0.35">
      <c r="A8" s="3">
        <v>45753</v>
      </c>
      <c r="B8" s="16">
        <f>36735+144777.5</f>
        <v>181512.5</v>
      </c>
      <c r="C8" s="11">
        <f t="shared" si="0"/>
        <v>165011.36363636362</v>
      </c>
      <c r="D8" s="11">
        <f t="shared" si="1"/>
        <v>16501.136363636364</v>
      </c>
      <c r="E8" s="16">
        <v>500</v>
      </c>
      <c r="F8" s="11">
        <f t="shared" si="2"/>
        <v>454.5454545454545</v>
      </c>
      <c r="G8" s="11">
        <f t="shared" si="3"/>
        <v>45.454545454545453</v>
      </c>
      <c r="H8" s="11">
        <v>0</v>
      </c>
      <c r="I8" s="11">
        <f t="shared" si="4"/>
        <v>0</v>
      </c>
      <c r="J8" s="11">
        <f t="shared" si="5"/>
        <v>0</v>
      </c>
      <c r="K8" s="11">
        <v>0</v>
      </c>
      <c r="L8" s="11">
        <f t="shared" si="6"/>
        <v>0</v>
      </c>
      <c r="M8" s="11">
        <f t="shared" si="7"/>
        <v>0</v>
      </c>
      <c r="N8" s="16">
        <f>2265+15564</f>
        <v>17829</v>
      </c>
      <c r="O8" s="16">
        <f>34470+122973.5</f>
        <v>157443.5</v>
      </c>
      <c r="P8" s="16">
        <v>6740</v>
      </c>
      <c r="Q8" s="11">
        <v>0</v>
      </c>
      <c r="R8" s="16">
        <f>1790+2310</f>
        <v>4100</v>
      </c>
      <c r="S8" s="12"/>
      <c r="T8" s="29">
        <v>45753</v>
      </c>
      <c r="U8" s="33">
        <v>186112.5</v>
      </c>
      <c r="V8" s="34">
        <f t="shared" si="8"/>
        <v>0</v>
      </c>
    </row>
    <row r="9" spans="1:22" ht="15" thickBot="1" x14ac:dyDescent="0.35">
      <c r="A9" s="3"/>
      <c r="B9" s="16"/>
      <c r="C9" s="11"/>
      <c r="D9" s="11"/>
      <c r="E9" s="16"/>
      <c r="F9" s="11"/>
      <c r="G9" s="11"/>
      <c r="H9" s="11"/>
      <c r="I9" s="11"/>
      <c r="J9" s="11"/>
      <c r="K9" s="11"/>
      <c r="L9" s="11"/>
      <c r="M9" s="11"/>
      <c r="N9" s="16"/>
      <c r="O9" s="16"/>
      <c r="P9" s="16"/>
      <c r="Q9" s="11"/>
      <c r="R9" s="16"/>
      <c r="S9" s="12"/>
      <c r="T9" s="29">
        <v>45754</v>
      </c>
      <c r="U9" s="33">
        <v>0</v>
      </c>
      <c r="V9" s="34">
        <f t="shared" si="8"/>
        <v>0</v>
      </c>
    </row>
    <row r="10" spans="1:22" ht="15" thickBot="1" x14ac:dyDescent="0.35">
      <c r="A10" s="3">
        <v>45755</v>
      </c>
      <c r="B10" s="16">
        <f>47235+5445</f>
        <v>52680</v>
      </c>
      <c r="C10" s="11">
        <f t="shared" si="0"/>
        <v>47890.909090909088</v>
      </c>
      <c r="D10" s="11">
        <f t="shared" si="1"/>
        <v>4789.090909090909</v>
      </c>
      <c r="E10" s="11">
        <v>0</v>
      </c>
      <c r="F10" s="11">
        <f t="shared" si="2"/>
        <v>0</v>
      </c>
      <c r="G10" s="11">
        <f t="shared" si="3"/>
        <v>0</v>
      </c>
      <c r="H10" s="11">
        <v>0</v>
      </c>
      <c r="I10" s="11">
        <f t="shared" si="4"/>
        <v>0</v>
      </c>
      <c r="J10" s="11">
        <f t="shared" si="5"/>
        <v>0</v>
      </c>
      <c r="K10" s="11">
        <v>0</v>
      </c>
      <c r="L10" s="11">
        <f t="shared" si="6"/>
        <v>0</v>
      </c>
      <c r="M10" s="11">
        <f t="shared" si="7"/>
        <v>0</v>
      </c>
      <c r="N10" s="16">
        <v>3755</v>
      </c>
      <c r="O10" s="16">
        <f>43480+5445</f>
        <v>48925</v>
      </c>
      <c r="P10" s="11">
        <v>0</v>
      </c>
      <c r="Q10" s="11">
        <v>0</v>
      </c>
      <c r="R10" s="11">
        <v>0</v>
      </c>
      <c r="S10" s="12"/>
      <c r="T10" s="29">
        <v>45755</v>
      </c>
      <c r="U10" s="33">
        <v>52680</v>
      </c>
      <c r="V10" s="34">
        <f t="shared" si="8"/>
        <v>0</v>
      </c>
    </row>
    <row r="11" spans="1:22" ht="15" thickBot="1" x14ac:dyDescent="0.35">
      <c r="A11" s="3">
        <v>45756</v>
      </c>
      <c r="B11" s="16">
        <f>38574+20445</f>
        <v>59019</v>
      </c>
      <c r="C11" s="11">
        <f t="shared" si="0"/>
        <v>53653.63636363636</v>
      </c>
      <c r="D11" s="11">
        <f t="shared" si="1"/>
        <v>5365.363636363636</v>
      </c>
      <c r="E11" s="16">
        <f>845+2105</f>
        <v>2950</v>
      </c>
      <c r="F11" s="11">
        <f t="shared" si="2"/>
        <v>2681.8181818181815</v>
      </c>
      <c r="G11" s="11">
        <f t="shared" si="3"/>
        <v>268.18181818181819</v>
      </c>
      <c r="H11" s="11">
        <v>0</v>
      </c>
      <c r="I11" s="11">
        <f t="shared" si="4"/>
        <v>0</v>
      </c>
      <c r="J11" s="11">
        <f t="shared" si="5"/>
        <v>0</v>
      </c>
      <c r="K11" s="16">
        <f>720+1360</f>
        <v>2080</v>
      </c>
      <c r="L11" s="11">
        <f t="shared" si="6"/>
        <v>1733.3333333333335</v>
      </c>
      <c r="M11" s="11">
        <f t="shared" si="7"/>
        <v>346.66666666666674</v>
      </c>
      <c r="N11" s="16">
        <f>2937+2795</f>
        <v>5732</v>
      </c>
      <c r="O11" s="16">
        <f>37202+21115</f>
        <v>58317</v>
      </c>
      <c r="P11" s="11">
        <v>0</v>
      </c>
      <c r="Q11" s="11">
        <v>0</v>
      </c>
      <c r="R11" s="11">
        <v>0</v>
      </c>
      <c r="S11" s="12"/>
      <c r="T11" s="29">
        <v>45756</v>
      </c>
      <c r="U11" s="33">
        <v>64049</v>
      </c>
      <c r="V11" s="34">
        <f t="shared" si="8"/>
        <v>0</v>
      </c>
    </row>
    <row r="12" spans="1:22" ht="15" thickBot="1" x14ac:dyDescent="0.35">
      <c r="A12" s="3">
        <v>45757</v>
      </c>
      <c r="B12" s="16">
        <f>9890+32620</f>
        <v>42510</v>
      </c>
      <c r="C12" s="11">
        <f t="shared" si="0"/>
        <v>38645.454545454544</v>
      </c>
      <c r="D12" s="11">
        <f t="shared" si="1"/>
        <v>3864.545454545454</v>
      </c>
      <c r="E12" s="16">
        <f>505+1015</f>
        <v>1520</v>
      </c>
      <c r="F12" s="11">
        <f t="shared" si="2"/>
        <v>1381.8181818181818</v>
      </c>
      <c r="G12" s="11">
        <f t="shared" si="3"/>
        <v>138.18181818181819</v>
      </c>
      <c r="H12" s="11">
        <v>0</v>
      </c>
      <c r="I12" s="11">
        <f t="shared" si="4"/>
        <v>0</v>
      </c>
      <c r="J12" s="11">
        <f t="shared" si="5"/>
        <v>0</v>
      </c>
      <c r="K12" s="16">
        <f>480+1040</f>
        <v>1520</v>
      </c>
      <c r="L12" s="11">
        <f t="shared" si="6"/>
        <v>1266.6666666666667</v>
      </c>
      <c r="M12" s="11">
        <f t="shared" si="7"/>
        <v>253.33333333333337</v>
      </c>
      <c r="N12" s="11">
        <v>0</v>
      </c>
      <c r="O12" s="16">
        <f>10875+34675</f>
        <v>45550</v>
      </c>
      <c r="P12" s="11">
        <v>0</v>
      </c>
      <c r="Q12" s="11">
        <v>0</v>
      </c>
      <c r="R12" s="11">
        <v>0</v>
      </c>
      <c r="S12" s="12"/>
      <c r="T12" s="29">
        <v>45757</v>
      </c>
      <c r="U12" s="33">
        <v>45550</v>
      </c>
      <c r="V12" s="34">
        <f t="shared" si="8"/>
        <v>0</v>
      </c>
    </row>
    <row r="13" spans="1:22" ht="15" thickBot="1" x14ac:dyDescent="0.35">
      <c r="A13" s="3">
        <v>45758</v>
      </c>
      <c r="B13" s="16">
        <f>73065+3705</f>
        <v>76770</v>
      </c>
      <c r="C13" s="11">
        <f t="shared" si="0"/>
        <v>69790.909090909088</v>
      </c>
      <c r="D13" s="11">
        <f t="shared" si="1"/>
        <v>6979.0909090909081</v>
      </c>
      <c r="E13" s="16">
        <f>2410</f>
        <v>2410</v>
      </c>
      <c r="F13" s="11">
        <f t="shared" si="2"/>
        <v>2190.9090909090905</v>
      </c>
      <c r="G13" s="11">
        <f t="shared" si="3"/>
        <v>219.09090909090904</v>
      </c>
      <c r="H13" s="11">
        <v>0</v>
      </c>
      <c r="I13" s="11">
        <f t="shared" si="4"/>
        <v>0</v>
      </c>
      <c r="J13" s="11">
        <f t="shared" si="5"/>
        <v>0</v>
      </c>
      <c r="K13" s="16">
        <v>1200</v>
      </c>
      <c r="L13" s="11">
        <f t="shared" si="6"/>
        <v>1000</v>
      </c>
      <c r="M13" s="11">
        <f t="shared" si="7"/>
        <v>200</v>
      </c>
      <c r="N13" s="16">
        <f>3705+5580</f>
        <v>9285</v>
      </c>
      <c r="O13" s="16">
        <f>69015</f>
        <v>69015</v>
      </c>
      <c r="P13" s="16">
        <v>2080</v>
      </c>
      <c r="Q13" s="11">
        <v>0</v>
      </c>
      <c r="R13" s="11">
        <v>0</v>
      </c>
      <c r="S13" s="12"/>
      <c r="T13" s="29">
        <v>45758</v>
      </c>
      <c r="U13" s="33">
        <v>80380</v>
      </c>
      <c r="V13" s="34">
        <f t="shared" si="8"/>
        <v>0</v>
      </c>
    </row>
    <row r="14" spans="1:22" ht="15" thickBot="1" x14ac:dyDescent="0.35">
      <c r="A14" s="3">
        <v>45759</v>
      </c>
      <c r="B14" s="16">
        <f>71145+56250</f>
        <v>127395</v>
      </c>
      <c r="C14" s="11">
        <f t="shared" si="0"/>
        <v>115813.63636363635</v>
      </c>
      <c r="D14" s="11">
        <f t="shared" si="1"/>
        <v>11581.363636363636</v>
      </c>
      <c r="E14" s="16">
        <f>950+620</f>
        <v>1570</v>
      </c>
      <c r="F14" s="11">
        <f t="shared" si="2"/>
        <v>1427.2727272727273</v>
      </c>
      <c r="G14" s="11">
        <f t="shared" si="3"/>
        <v>142.72727272727272</v>
      </c>
      <c r="H14" s="16">
        <v>1200</v>
      </c>
      <c r="I14" s="11">
        <f t="shared" si="4"/>
        <v>1000</v>
      </c>
      <c r="J14" s="11">
        <f t="shared" si="5"/>
        <v>200</v>
      </c>
      <c r="K14" s="16">
        <v>480</v>
      </c>
      <c r="L14" s="11">
        <f t="shared" si="6"/>
        <v>400</v>
      </c>
      <c r="M14" s="11">
        <f t="shared" si="7"/>
        <v>80</v>
      </c>
      <c r="N14" s="16">
        <v>1100</v>
      </c>
      <c r="O14" s="16">
        <f>73775+55770-1790</f>
        <v>127755</v>
      </c>
      <c r="P14" s="16">
        <v>1790</v>
      </c>
      <c r="Q14" s="16">
        <v>10030</v>
      </c>
      <c r="R14" s="16">
        <v>3970</v>
      </c>
      <c r="S14" s="12"/>
      <c r="T14" s="29">
        <v>45759</v>
      </c>
      <c r="U14" s="33">
        <v>144635</v>
      </c>
      <c r="V14" s="34">
        <f t="shared" si="8"/>
        <v>10</v>
      </c>
    </row>
    <row r="15" spans="1:22" ht="15" thickBot="1" x14ac:dyDescent="0.35">
      <c r="A15" s="3">
        <v>45760</v>
      </c>
      <c r="B15" s="16">
        <f>132525+55220</f>
        <v>187745</v>
      </c>
      <c r="C15" s="11">
        <f t="shared" si="0"/>
        <v>170677.27272727271</v>
      </c>
      <c r="D15" s="11">
        <f t="shared" si="1"/>
        <v>17067.727272727272</v>
      </c>
      <c r="E15" s="16">
        <f>13635+5295</f>
        <v>18930</v>
      </c>
      <c r="F15" s="11">
        <f t="shared" si="2"/>
        <v>17209.090909090908</v>
      </c>
      <c r="G15" s="11">
        <f t="shared" si="3"/>
        <v>1720.909090909091</v>
      </c>
      <c r="H15" s="11">
        <v>0</v>
      </c>
      <c r="I15" s="11">
        <f t="shared" si="4"/>
        <v>0</v>
      </c>
      <c r="J15" s="11">
        <f t="shared" si="5"/>
        <v>0</v>
      </c>
      <c r="K15" s="16">
        <f>2000+1600</f>
        <v>3600</v>
      </c>
      <c r="L15" s="11">
        <f t="shared" si="6"/>
        <v>3000</v>
      </c>
      <c r="M15" s="11">
        <f t="shared" si="7"/>
        <v>600</v>
      </c>
      <c r="N15" s="16">
        <f>10285+6345</f>
        <v>16630</v>
      </c>
      <c r="O15" s="16">
        <f>137875+55770</f>
        <v>193645</v>
      </c>
      <c r="P15" s="11">
        <v>0</v>
      </c>
      <c r="Q15" s="11">
        <v>0</v>
      </c>
      <c r="R15" s="16">
        <f>10630+20815</f>
        <v>31445</v>
      </c>
      <c r="S15" s="12"/>
      <c r="T15" s="29">
        <v>45760</v>
      </c>
      <c r="U15" s="33">
        <v>241570</v>
      </c>
      <c r="V15" s="34">
        <f t="shared" si="8"/>
        <v>150</v>
      </c>
    </row>
    <row r="16" spans="1:22" ht="15" thickBot="1" x14ac:dyDescent="0.35">
      <c r="A16" s="3"/>
      <c r="B16" s="16"/>
      <c r="C16" s="11"/>
      <c r="D16" s="11"/>
      <c r="E16" s="16"/>
      <c r="F16" s="11"/>
      <c r="G16" s="11"/>
      <c r="H16" s="11"/>
      <c r="I16" s="11"/>
      <c r="J16" s="11"/>
      <c r="K16" s="16"/>
      <c r="L16" s="11"/>
      <c r="M16" s="11"/>
      <c r="N16" s="16"/>
      <c r="O16" s="16"/>
      <c r="P16" s="11"/>
      <c r="Q16" s="11"/>
      <c r="R16" s="16"/>
      <c r="S16" s="12"/>
      <c r="T16" s="29">
        <v>45761</v>
      </c>
      <c r="U16" s="33">
        <v>0</v>
      </c>
      <c r="V16" s="34">
        <f t="shared" si="8"/>
        <v>0</v>
      </c>
    </row>
    <row r="17" spans="1:22" ht="15" thickBot="1" x14ac:dyDescent="0.35">
      <c r="A17" s="3">
        <v>45762</v>
      </c>
      <c r="B17" s="16">
        <f>69470+16740</f>
        <v>86210</v>
      </c>
      <c r="C17" s="11">
        <f t="shared" si="0"/>
        <v>78372.727272727265</v>
      </c>
      <c r="D17" s="11">
        <f t="shared" si="1"/>
        <v>7837.272727272727</v>
      </c>
      <c r="E17" s="16">
        <f>4360+755</f>
        <v>5115</v>
      </c>
      <c r="F17" s="11">
        <f t="shared" si="2"/>
        <v>4650</v>
      </c>
      <c r="G17" s="11">
        <f t="shared" si="3"/>
        <v>465</v>
      </c>
      <c r="H17" s="11">
        <v>0</v>
      </c>
      <c r="I17" s="11">
        <f t="shared" si="4"/>
        <v>0</v>
      </c>
      <c r="J17" s="11">
        <f t="shared" si="5"/>
        <v>0</v>
      </c>
      <c r="K17" s="16">
        <f>2560+1120</f>
        <v>3680</v>
      </c>
      <c r="L17" s="11">
        <f t="shared" si="6"/>
        <v>3066.666666666667</v>
      </c>
      <c r="M17" s="11">
        <f t="shared" si="7"/>
        <v>613.33333333333348</v>
      </c>
      <c r="N17" s="16">
        <f>5290+2200</f>
        <v>7490</v>
      </c>
      <c r="O17" s="16">
        <f>70470+16415</f>
        <v>86885</v>
      </c>
      <c r="P17" s="16">
        <v>630</v>
      </c>
      <c r="Q17" s="11">
        <v>0</v>
      </c>
      <c r="R17" s="11">
        <v>0</v>
      </c>
      <c r="S17" s="12"/>
      <c r="T17" s="29">
        <v>45762</v>
      </c>
      <c r="U17" s="33">
        <v>95015</v>
      </c>
      <c r="V17" s="34">
        <f t="shared" si="8"/>
        <v>-10</v>
      </c>
    </row>
    <row r="18" spans="1:22" ht="15" thickBot="1" x14ac:dyDescent="0.35">
      <c r="A18" s="3">
        <v>45763</v>
      </c>
      <c r="B18" s="16">
        <f>11875+63465</f>
        <v>75340</v>
      </c>
      <c r="C18" s="11">
        <f t="shared" si="0"/>
        <v>68490.909090909088</v>
      </c>
      <c r="D18" s="11">
        <f t="shared" si="1"/>
        <v>6849.0909090909081</v>
      </c>
      <c r="E18" s="16">
        <f>200+1995</f>
        <v>2195</v>
      </c>
      <c r="F18" s="11">
        <f t="shared" si="2"/>
        <v>1995.4545454545453</v>
      </c>
      <c r="G18" s="11">
        <f t="shared" si="3"/>
        <v>199.54545454545453</v>
      </c>
      <c r="H18" s="16">
        <v>1000</v>
      </c>
      <c r="I18" s="11">
        <f t="shared" si="4"/>
        <v>833.33333333333337</v>
      </c>
      <c r="J18" s="11">
        <f t="shared" si="5"/>
        <v>166.66666666666669</v>
      </c>
      <c r="K18" s="16">
        <f>720+2720</f>
        <v>3440</v>
      </c>
      <c r="L18" s="11">
        <f t="shared" si="6"/>
        <v>2866.666666666667</v>
      </c>
      <c r="M18" s="11">
        <f t="shared" si="7"/>
        <v>573.33333333333348</v>
      </c>
      <c r="N18" s="16">
        <f>3110</f>
        <v>3110</v>
      </c>
      <c r="O18" s="16">
        <f>12795+66070</f>
        <v>78865</v>
      </c>
      <c r="P18" s="11">
        <v>0</v>
      </c>
      <c r="Q18" s="11">
        <v>0</v>
      </c>
      <c r="R18" s="16">
        <v>10245</v>
      </c>
      <c r="S18" s="12"/>
      <c r="T18" s="29">
        <v>45763</v>
      </c>
      <c r="U18" s="33">
        <v>92220</v>
      </c>
      <c r="V18" s="34">
        <f t="shared" si="8"/>
        <v>0</v>
      </c>
    </row>
    <row r="19" spans="1:22" ht="15" thickBot="1" x14ac:dyDescent="0.35">
      <c r="A19" s="3">
        <v>45764</v>
      </c>
      <c r="B19" s="16">
        <f>29945+70860</f>
        <v>100805</v>
      </c>
      <c r="C19" s="11">
        <f t="shared" si="0"/>
        <v>91640.909090909088</v>
      </c>
      <c r="D19" s="11">
        <f t="shared" si="1"/>
        <v>9164.0909090909081</v>
      </c>
      <c r="E19" s="16">
        <f>995+4600</f>
        <v>5595</v>
      </c>
      <c r="F19" s="11">
        <f t="shared" si="2"/>
        <v>5086.363636363636</v>
      </c>
      <c r="G19" s="11">
        <f t="shared" si="3"/>
        <v>508.63636363636363</v>
      </c>
      <c r="H19" s="11">
        <v>0</v>
      </c>
      <c r="I19" s="11">
        <f t="shared" si="4"/>
        <v>0</v>
      </c>
      <c r="J19" s="11">
        <f t="shared" si="5"/>
        <v>0</v>
      </c>
      <c r="K19" s="16">
        <f>1760+1280</f>
        <v>3040</v>
      </c>
      <c r="L19" s="11">
        <f t="shared" si="6"/>
        <v>2533.3333333333335</v>
      </c>
      <c r="M19" s="11">
        <f t="shared" si="7"/>
        <v>506.66666666666674</v>
      </c>
      <c r="N19" s="16">
        <f>2970+4965</f>
        <v>7935</v>
      </c>
      <c r="O19" s="16">
        <f>29730+71775</f>
        <v>101505</v>
      </c>
      <c r="P19" s="11">
        <v>0</v>
      </c>
      <c r="Q19" s="11">
        <v>0</v>
      </c>
      <c r="R19" s="16">
        <f>2760+16215</f>
        <v>18975</v>
      </c>
      <c r="S19" s="12"/>
      <c r="T19" s="29">
        <v>45764</v>
      </c>
      <c r="U19" s="33">
        <v>128475</v>
      </c>
      <c r="V19" s="34">
        <f t="shared" si="8"/>
        <v>-60</v>
      </c>
    </row>
    <row r="20" spans="1:22" ht="15" thickBot="1" x14ac:dyDescent="0.35">
      <c r="A20" s="3">
        <v>45765</v>
      </c>
      <c r="B20" s="16">
        <f>73465.5+45528</f>
        <v>118993.5</v>
      </c>
      <c r="C20" s="11">
        <f t="shared" si="0"/>
        <v>108175.90909090909</v>
      </c>
      <c r="D20" s="11">
        <f t="shared" si="1"/>
        <v>10817.590909090908</v>
      </c>
      <c r="E20" s="16">
        <f>7845+3490</f>
        <v>11335</v>
      </c>
      <c r="F20" s="11">
        <f t="shared" si="2"/>
        <v>10304.545454545454</v>
      </c>
      <c r="G20" s="11">
        <f t="shared" si="3"/>
        <v>1030.4545454545455</v>
      </c>
      <c r="H20" s="16">
        <v>1080</v>
      </c>
      <c r="I20" s="11">
        <f t="shared" si="4"/>
        <v>900</v>
      </c>
      <c r="J20" s="11">
        <f t="shared" si="5"/>
        <v>180</v>
      </c>
      <c r="K20" s="16">
        <f>2000+2560</f>
        <v>4560</v>
      </c>
      <c r="L20" s="11">
        <f t="shared" si="6"/>
        <v>3800</v>
      </c>
      <c r="M20" s="11">
        <f t="shared" si="7"/>
        <v>760</v>
      </c>
      <c r="N20" s="16">
        <f>13010.5+2355</f>
        <v>15365.5</v>
      </c>
      <c r="O20" s="16">
        <f>47563+71380</f>
        <v>118943</v>
      </c>
      <c r="P20" s="16">
        <v>1660</v>
      </c>
      <c r="Q20" s="11">
        <v>0</v>
      </c>
      <c r="R20" s="11">
        <v>0</v>
      </c>
      <c r="S20" s="12"/>
      <c r="T20" s="29">
        <v>45765</v>
      </c>
      <c r="U20" s="33">
        <v>135968.5</v>
      </c>
      <c r="V20" s="34">
        <f t="shared" si="8"/>
        <v>0</v>
      </c>
    </row>
    <row r="21" spans="1:22" ht="15" thickBot="1" x14ac:dyDescent="0.35">
      <c r="A21" s="3">
        <v>45766</v>
      </c>
      <c r="B21" s="16">
        <f>55432.5+112915</f>
        <v>168347.5</v>
      </c>
      <c r="C21" s="11">
        <f t="shared" si="0"/>
        <v>153043.18181818179</v>
      </c>
      <c r="D21" s="11">
        <f t="shared" si="1"/>
        <v>15304.318181818178</v>
      </c>
      <c r="E21" s="16">
        <f>2135+8045</f>
        <v>10180</v>
      </c>
      <c r="F21" s="11">
        <f t="shared" si="2"/>
        <v>9254.545454545454</v>
      </c>
      <c r="G21" s="11">
        <f t="shared" si="3"/>
        <v>925.4545454545455</v>
      </c>
      <c r="H21" s="16">
        <v>200</v>
      </c>
      <c r="I21" s="11">
        <f t="shared" si="4"/>
        <v>166.66666666666669</v>
      </c>
      <c r="J21" s="11">
        <f t="shared" si="5"/>
        <v>33.333333333333343</v>
      </c>
      <c r="K21" s="16">
        <f>960+2880</f>
        <v>3840</v>
      </c>
      <c r="L21" s="11">
        <f t="shared" si="6"/>
        <v>3200</v>
      </c>
      <c r="M21" s="11">
        <f t="shared" si="7"/>
        <v>640</v>
      </c>
      <c r="N21" s="16">
        <f>2010+6230</f>
        <v>8240</v>
      </c>
      <c r="O21" s="16">
        <f>53402.5+117810-1790</f>
        <v>169422.5</v>
      </c>
      <c r="P21" s="16">
        <f>3115+1790</f>
        <v>4905</v>
      </c>
      <c r="Q21" s="11">
        <v>0</v>
      </c>
      <c r="R21" s="16">
        <v>14630</v>
      </c>
      <c r="S21" s="12"/>
      <c r="T21" s="29">
        <v>45766</v>
      </c>
      <c r="U21" s="33">
        <v>187482.5</v>
      </c>
      <c r="V21" s="35">
        <f t="shared" si="8"/>
        <v>9715</v>
      </c>
    </row>
    <row r="22" spans="1:22" ht="15" thickBot="1" x14ac:dyDescent="0.35">
      <c r="A22" s="3">
        <v>45767</v>
      </c>
      <c r="B22" s="16">
        <f>91950+125480</f>
        <v>217430</v>
      </c>
      <c r="C22" s="11">
        <f t="shared" si="0"/>
        <v>197663.63636363635</v>
      </c>
      <c r="D22" s="11">
        <f t="shared" si="1"/>
        <v>19766.363636363636</v>
      </c>
      <c r="E22" s="16">
        <f>3910+8590</f>
        <v>12500</v>
      </c>
      <c r="F22" s="11">
        <f t="shared" si="2"/>
        <v>11363.636363636362</v>
      </c>
      <c r="G22" s="11">
        <f t="shared" si="3"/>
        <v>1136.3636363636363</v>
      </c>
      <c r="H22" s="16">
        <v>1100</v>
      </c>
      <c r="I22" s="11">
        <f t="shared" si="4"/>
        <v>916.66666666666674</v>
      </c>
      <c r="J22" s="11">
        <f t="shared" si="5"/>
        <v>183.33333333333337</v>
      </c>
      <c r="K22" s="16">
        <f>2160</f>
        <v>2160</v>
      </c>
      <c r="L22" s="11">
        <f t="shared" si="6"/>
        <v>1800</v>
      </c>
      <c r="M22" s="11">
        <f t="shared" si="7"/>
        <v>360</v>
      </c>
      <c r="N22" s="16">
        <f>4310+7610</f>
        <v>11920</v>
      </c>
      <c r="O22" s="16">
        <f>89760+126140</f>
        <v>215900</v>
      </c>
      <c r="P22" s="16">
        <f>1790+3580</f>
        <v>5370</v>
      </c>
      <c r="Q22" s="11">
        <v>0</v>
      </c>
      <c r="R22" s="11">
        <v>0</v>
      </c>
      <c r="S22" s="12"/>
      <c r="T22" s="29">
        <v>45767</v>
      </c>
      <c r="U22" s="33">
        <v>233190</v>
      </c>
      <c r="V22" s="34">
        <f t="shared" si="8"/>
        <v>0</v>
      </c>
    </row>
    <row r="23" spans="1:22" ht="15" thickBot="1" x14ac:dyDescent="0.35">
      <c r="A23" s="3"/>
      <c r="B23" s="16"/>
      <c r="C23" s="11"/>
      <c r="D23" s="11"/>
      <c r="E23" s="16"/>
      <c r="F23" s="11"/>
      <c r="G23" s="11"/>
      <c r="H23" s="16"/>
      <c r="I23" s="11"/>
      <c r="J23" s="11"/>
      <c r="K23" s="16"/>
      <c r="L23" s="11"/>
      <c r="M23" s="11"/>
      <c r="N23" s="16"/>
      <c r="O23" s="16"/>
      <c r="P23" s="16"/>
      <c r="Q23" s="11"/>
      <c r="R23" s="11"/>
      <c r="S23" s="12"/>
      <c r="T23" s="29">
        <v>45768</v>
      </c>
      <c r="U23" s="33">
        <v>0</v>
      </c>
      <c r="V23" s="34">
        <f t="shared" si="8"/>
        <v>0</v>
      </c>
    </row>
    <row r="24" spans="1:22" ht="15" thickBot="1" x14ac:dyDescent="0.35">
      <c r="A24" s="3">
        <v>45769</v>
      </c>
      <c r="B24" s="16">
        <f>35990+24465</f>
        <v>60455</v>
      </c>
      <c r="C24" s="11">
        <f t="shared" si="0"/>
        <v>54959.090909090904</v>
      </c>
      <c r="D24" s="11">
        <f t="shared" si="1"/>
        <v>5495.909090909091</v>
      </c>
      <c r="E24" s="16">
        <f>2680+670</f>
        <v>3350</v>
      </c>
      <c r="F24" s="11">
        <f t="shared" si="2"/>
        <v>3045.454545454545</v>
      </c>
      <c r="G24" s="11">
        <f t="shared" si="3"/>
        <v>304.5454545454545</v>
      </c>
      <c r="H24" s="16">
        <f>345</f>
        <v>345</v>
      </c>
      <c r="I24" s="11">
        <f t="shared" si="4"/>
        <v>287.5</v>
      </c>
      <c r="J24" s="11">
        <f t="shared" si="5"/>
        <v>57.5</v>
      </c>
      <c r="K24" s="16">
        <f>2560+320</f>
        <v>2880</v>
      </c>
      <c r="L24" s="11">
        <f t="shared" si="6"/>
        <v>2400</v>
      </c>
      <c r="M24" s="11">
        <f t="shared" si="7"/>
        <v>480</v>
      </c>
      <c r="N24" s="16">
        <f>1000+2110</f>
        <v>3110</v>
      </c>
      <c r="O24" s="16">
        <f>40575+23345</f>
        <v>63920</v>
      </c>
      <c r="P24" s="11">
        <v>0</v>
      </c>
      <c r="Q24" s="11">
        <v>0</v>
      </c>
      <c r="R24" s="16">
        <v>26000</v>
      </c>
      <c r="S24" s="12"/>
      <c r="T24" s="29">
        <v>45769</v>
      </c>
      <c r="U24" s="33">
        <v>93030</v>
      </c>
      <c r="V24" s="34">
        <f t="shared" si="8"/>
        <v>0</v>
      </c>
    </row>
    <row r="25" spans="1:22" ht="15" thickBot="1" x14ac:dyDescent="0.35">
      <c r="A25" s="3">
        <v>45770</v>
      </c>
      <c r="B25" s="16">
        <f>101320+91990</f>
        <v>193310</v>
      </c>
      <c r="C25" s="11">
        <f t="shared" si="0"/>
        <v>175736.36363636362</v>
      </c>
      <c r="D25" s="11">
        <f t="shared" si="1"/>
        <v>17573.636363636364</v>
      </c>
      <c r="E25" s="16">
        <f>6355+5297.5</f>
        <v>11652.5</v>
      </c>
      <c r="F25" s="11">
        <f t="shared" si="2"/>
        <v>10593.181818181818</v>
      </c>
      <c r="G25" s="11">
        <f t="shared" si="3"/>
        <v>1059.3181818181818</v>
      </c>
      <c r="H25" s="16">
        <f>200+500</f>
        <v>700</v>
      </c>
      <c r="I25" s="11">
        <f t="shared" si="4"/>
        <v>583.33333333333337</v>
      </c>
      <c r="J25" s="11">
        <f t="shared" si="5"/>
        <v>116.66666666666669</v>
      </c>
      <c r="K25" s="16">
        <f>2880+1200</f>
        <v>4080</v>
      </c>
      <c r="L25" s="11">
        <f t="shared" si="6"/>
        <v>3400</v>
      </c>
      <c r="M25" s="11">
        <f t="shared" si="7"/>
        <v>680</v>
      </c>
      <c r="N25" s="16">
        <f>3350+9502.5</f>
        <v>12852.5</v>
      </c>
      <c r="O25" s="16">
        <f>107405+89485</f>
        <v>196890</v>
      </c>
      <c r="P25" s="11">
        <v>0</v>
      </c>
      <c r="Q25" s="11">
        <v>0</v>
      </c>
      <c r="R25" s="16">
        <v>3890</v>
      </c>
      <c r="S25" s="12"/>
      <c r="T25" s="29">
        <v>45770</v>
      </c>
      <c r="U25" s="33">
        <v>213632.5</v>
      </c>
      <c r="V25" s="34">
        <f t="shared" si="8"/>
        <v>0</v>
      </c>
    </row>
    <row r="26" spans="1:22" ht="15" thickBot="1" x14ac:dyDescent="0.35">
      <c r="A26" s="3">
        <v>45771</v>
      </c>
      <c r="B26" s="16">
        <f>12895+56107.5</f>
        <v>69002.5</v>
      </c>
      <c r="C26" s="11">
        <f t="shared" si="0"/>
        <v>62729.545454545449</v>
      </c>
      <c r="D26" s="11">
        <f t="shared" si="1"/>
        <v>6272.954545454545</v>
      </c>
      <c r="E26" s="16">
        <f>870+3290</f>
        <v>4160</v>
      </c>
      <c r="F26" s="11">
        <f t="shared" si="2"/>
        <v>3781.8181818181815</v>
      </c>
      <c r="G26" s="11">
        <f t="shared" si="3"/>
        <v>378.18181818181819</v>
      </c>
      <c r="H26" s="16">
        <v>600</v>
      </c>
      <c r="I26" s="11">
        <f t="shared" si="4"/>
        <v>500</v>
      </c>
      <c r="J26" s="11">
        <f t="shared" si="5"/>
        <v>100</v>
      </c>
      <c r="K26" s="16">
        <f>960+1120</f>
        <v>2080</v>
      </c>
      <c r="L26" s="11">
        <f t="shared" si="6"/>
        <v>1733.3333333333335</v>
      </c>
      <c r="M26" s="11">
        <f t="shared" si="7"/>
        <v>346.66666666666674</v>
      </c>
      <c r="N26" s="16">
        <f>4440+1897</f>
        <v>6337</v>
      </c>
      <c r="O26" s="16">
        <f>8045+59220.5</f>
        <v>67265.5</v>
      </c>
      <c r="P26" s="16">
        <v>2240</v>
      </c>
      <c r="Q26" s="11">
        <v>0</v>
      </c>
      <c r="R26" s="11">
        <v>0</v>
      </c>
      <c r="S26" s="12"/>
      <c r="T26" s="29">
        <v>45771</v>
      </c>
      <c r="U26" s="33">
        <v>75842.5</v>
      </c>
      <c r="V26" s="34">
        <f t="shared" si="8"/>
        <v>0</v>
      </c>
    </row>
    <row r="27" spans="1:22" ht="15" thickBot="1" x14ac:dyDescent="0.35">
      <c r="A27" s="3">
        <v>45772</v>
      </c>
      <c r="B27" s="16">
        <f>57845+52417.5</f>
        <v>110262.5</v>
      </c>
      <c r="C27" s="11">
        <f t="shared" si="0"/>
        <v>100238.63636363635</v>
      </c>
      <c r="D27" s="11">
        <f t="shared" si="1"/>
        <v>10023.863636363636</v>
      </c>
      <c r="E27" s="16">
        <f>1455+1850</f>
        <v>3305</v>
      </c>
      <c r="F27" s="11">
        <f t="shared" si="2"/>
        <v>3004.5454545454545</v>
      </c>
      <c r="G27" s="11">
        <f t="shared" si="3"/>
        <v>300.45454545454544</v>
      </c>
      <c r="H27" s="16">
        <v>1000</v>
      </c>
      <c r="I27" s="11">
        <f t="shared" si="4"/>
        <v>833.33333333333337</v>
      </c>
      <c r="J27" s="11">
        <f t="shared" si="5"/>
        <v>166.66666666666669</v>
      </c>
      <c r="K27" s="16">
        <f>1680+2000</f>
        <v>3680</v>
      </c>
      <c r="L27" s="11">
        <f t="shared" si="6"/>
        <v>3066.666666666667</v>
      </c>
      <c r="M27" s="11">
        <f t="shared" si="7"/>
        <v>613.33333333333348</v>
      </c>
      <c r="N27" s="16">
        <f>4475+5420</f>
        <v>9895</v>
      </c>
      <c r="O27" s="16">
        <f>54195+51147.5</f>
        <v>105342.5</v>
      </c>
      <c r="P27" s="16">
        <v>3010</v>
      </c>
      <c r="Q27" s="16">
        <v>4193</v>
      </c>
      <c r="R27" s="16">
        <v>8382</v>
      </c>
      <c r="S27" s="12"/>
      <c r="T27" s="29">
        <v>45772</v>
      </c>
      <c r="U27" s="33">
        <v>130822.5</v>
      </c>
      <c r="V27" s="34">
        <f t="shared" si="8"/>
        <v>0</v>
      </c>
    </row>
    <row r="28" spans="1:22" ht="15" thickBot="1" x14ac:dyDescent="0.35">
      <c r="A28" s="3">
        <v>45773</v>
      </c>
      <c r="B28" s="16">
        <f>125255+141355</f>
        <v>266610</v>
      </c>
      <c r="C28" s="11">
        <f t="shared" si="0"/>
        <v>242372.72727272726</v>
      </c>
      <c r="D28" s="11">
        <f t="shared" si="1"/>
        <v>24237.272727272724</v>
      </c>
      <c r="E28" s="16">
        <f>2665+8516.5</f>
        <v>11181.5</v>
      </c>
      <c r="F28" s="11">
        <f t="shared" si="2"/>
        <v>10165</v>
      </c>
      <c r="G28" s="11">
        <f t="shared" si="3"/>
        <v>1016.5</v>
      </c>
      <c r="H28" s="16">
        <v>550</v>
      </c>
      <c r="I28" s="11">
        <f t="shared" si="4"/>
        <v>458.33333333333337</v>
      </c>
      <c r="J28" s="11">
        <f t="shared" si="5"/>
        <v>91.666666666666686</v>
      </c>
      <c r="K28" s="16">
        <f>3200+5096</f>
        <v>8296</v>
      </c>
      <c r="L28" s="11">
        <f t="shared" si="6"/>
        <v>6913.3333333333339</v>
      </c>
      <c r="M28" s="11">
        <f t="shared" si="7"/>
        <v>1382.666666666667</v>
      </c>
      <c r="N28" s="16">
        <f>12215+3545</f>
        <v>15760</v>
      </c>
      <c r="O28" s="16">
        <f>113885+151972.5</f>
        <v>265857.5</v>
      </c>
      <c r="P28" s="16">
        <v>5020</v>
      </c>
      <c r="Q28" s="11">
        <v>0</v>
      </c>
      <c r="R28" s="11">
        <v>0</v>
      </c>
      <c r="S28" s="12" t="s">
        <v>28</v>
      </c>
      <c r="T28" s="29">
        <v>45773</v>
      </c>
      <c r="U28" s="33">
        <v>288427.5</v>
      </c>
      <c r="V28" s="35">
        <f t="shared" si="8"/>
        <v>-1790</v>
      </c>
    </row>
    <row r="29" spans="1:22" ht="15" thickBot="1" x14ac:dyDescent="0.35">
      <c r="A29" s="3">
        <v>45774</v>
      </c>
      <c r="B29" s="16">
        <f>95360+140897.5</f>
        <v>236257.5</v>
      </c>
      <c r="C29" s="11">
        <f t="shared" si="0"/>
        <v>214779.54545454544</v>
      </c>
      <c r="D29" s="11">
        <f t="shared" si="1"/>
        <v>21477.954545454544</v>
      </c>
      <c r="E29" s="16">
        <f>2195+6700</f>
        <v>8895</v>
      </c>
      <c r="F29" s="11">
        <f t="shared" si="2"/>
        <v>8086.363636363636</v>
      </c>
      <c r="G29" s="11">
        <f t="shared" si="3"/>
        <v>808.63636363636351</v>
      </c>
      <c r="H29" s="16">
        <f>400</f>
        <v>400</v>
      </c>
      <c r="I29" s="11">
        <f t="shared" si="4"/>
        <v>333.33333333333337</v>
      </c>
      <c r="J29" s="11">
        <f t="shared" si="5"/>
        <v>66.666666666666686</v>
      </c>
      <c r="K29" s="16">
        <f>1440+2080</f>
        <v>3520</v>
      </c>
      <c r="L29" s="11">
        <f t="shared" si="6"/>
        <v>2933.3333333333335</v>
      </c>
      <c r="M29" s="11">
        <f t="shared" si="7"/>
        <v>586.66666666666674</v>
      </c>
      <c r="N29" s="16">
        <f>1790+3395</f>
        <v>5185</v>
      </c>
      <c r="O29" s="16">
        <f>95415+140737.5</f>
        <v>236152.5</v>
      </c>
      <c r="P29" s="16">
        <f>1790+5945</f>
        <v>7735</v>
      </c>
      <c r="Q29" s="11">
        <v>0</v>
      </c>
      <c r="R29" s="11">
        <v>0</v>
      </c>
      <c r="S29" s="12"/>
      <c r="T29" s="29">
        <v>45774</v>
      </c>
      <c r="U29" s="33">
        <v>249072.5</v>
      </c>
      <c r="V29" s="34">
        <f t="shared" si="8"/>
        <v>0</v>
      </c>
    </row>
    <row r="30" spans="1:22" ht="15" thickBot="1" x14ac:dyDescent="0.35">
      <c r="A30" s="3"/>
      <c r="B30" s="16"/>
      <c r="C30" s="11"/>
      <c r="D30" s="11"/>
      <c r="E30" s="16"/>
      <c r="F30" s="11"/>
      <c r="G30" s="11"/>
      <c r="H30" s="16"/>
      <c r="I30" s="11"/>
      <c r="J30" s="11"/>
      <c r="K30" s="16"/>
      <c r="L30" s="11"/>
      <c r="M30" s="11"/>
      <c r="N30" s="16"/>
      <c r="O30" s="16"/>
      <c r="P30" s="16"/>
      <c r="Q30" s="11"/>
      <c r="R30" s="11"/>
      <c r="S30" s="12"/>
      <c r="T30" s="29">
        <v>45775</v>
      </c>
      <c r="U30" s="33">
        <v>0</v>
      </c>
      <c r="V30" s="34">
        <f t="shared" si="8"/>
        <v>0</v>
      </c>
    </row>
    <row r="31" spans="1:22" ht="15" thickBot="1" x14ac:dyDescent="0.35">
      <c r="A31" s="3">
        <v>45776</v>
      </c>
      <c r="B31" s="16">
        <f>26850+38801</f>
        <v>65651</v>
      </c>
      <c r="C31" s="11">
        <f t="shared" si="0"/>
        <v>59682.727272727265</v>
      </c>
      <c r="D31" s="11">
        <f t="shared" si="1"/>
        <v>5968.272727272727</v>
      </c>
      <c r="E31" s="16">
        <f>1190+4865</f>
        <v>6055</v>
      </c>
      <c r="F31" s="11">
        <f t="shared" si="2"/>
        <v>5504.545454545454</v>
      </c>
      <c r="G31" s="11">
        <f t="shared" si="3"/>
        <v>550.4545454545455</v>
      </c>
      <c r="H31" s="11">
        <v>0</v>
      </c>
      <c r="I31" s="11">
        <f t="shared" si="4"/>
        <v>0</v>
      </c>
      <c r="J31" s="11">
        <f t="shared" si="5"/>
        <v>0</v>
      </c>
      <c r="K31" s="16">
        <v>1360</v>
      </c>
      <c r="L31" s="11">
        <f t="shared" si="6"/>
        <v>1133.3333333333335</v>
      </c>
      <c r="M31" s="11">
        <f t="shared" si="7"/>
        <v>226.66666666666671</v>
      </c>
      <c r="N31" s="16">
        <f>2837</f>
        <v>2837</v>
      </c>
      <c r="O31" s="16">
        <f>25203+43236</f>
        <v>68439</v>
      </c>
      <c r="P31" s="16">
        <v>1790</v>
      </c>
      <c r="Q31" s="11">
        <v>0</v>
      </c>
      <c r="R31" s="11">
        <v>0</v>
      </c>
      <c r="S31" s="12"/>
      <c r="T31" s="29">
        <v>45776</v>
      </c>
      <c r="U31" s="33">
        <v>73066</v>
      </c>
      <c r="V31" s="34">
        <f t="shared" si="8"/>
        <v>0</v>
      </c>
    </row>
    <row r="32" spans="1:22" ht="15" thickBot="1" x14ac:dyDescent="0.35">
      <c r="A32" s="3">
        <v>45777</v>
      </c>
      <c r="B32" s="16">
        <f>79715+19070</f>
        <v>98785</v>
      </c>
      <c r="C32" s="11">
        <f t="shared" si="0"/>
        <v>89804.545454545441</v>
      </c>
      <c r="D32" s="11">
        <f t="shared" si="1"/>
        <v>8980.4545454545441</v>
      </c>
      <c r="E32" s="16">
        <f>4465</f>
        <v>4465</v>
      </c>
      <c r="F32" s="11">
        <f t="shared" si="2"/>
        <v>4059.0909090909086</v>
      </c>
      <c r="G32" s="11">
        <f t="shared" si="3"/>
        <v>405.90909090909088</v>
      </c>
      <c r="H32" s="16">
        <f>903+600</f>
        <v>1503</v>
      </c>
      <c r="I32" s="11">
        <f t="shared" si="4"/>
        <v>1252.5</v>
      </c>
      <c r="J32" s="11">
        <f t="shared" si="5"/>
        <v>250.5</v>
      </c>
      <c r="K32" s="16">
        <f>160+240</f>
        <v>400</v>
      </c>
      <c r="L32" s="11">
        <f t="shared" si="6"/>
        <v>333.33333333333337</v>
      </c>
      <c r="M32" s="11">
        <f t="shared" si="7"/>
        <v>66.666666666666686</v>
      </c>
      <c r="N32" s="16">
        <f>6980</f>
        <v>6980</v>
      </c>
      <c r="O32" s="16">
        <f>75018+21265-3580</f>
        <v>92703</v>
      </c>
      <c r="P32" s="16">
        <f>2690+2780</f>
        <v>5470</v>
      </c>
      <c r="Q32" s="11">
        <v>0</v>
      </c>
      <c r="R32" s="16">
        <v>3580</v>
      </c>
      <c r="S32" s="12"/>
      <c r="T32" s="29">
        <v>45777</v>
      </c>
      <c r="U32" s="33">
        <v>108733</v>
      </c>
      <c r="V32" s="34">
        <f t="shared" si="8"/>
        <v>0</v>
      </c>
    </row>
    <row r="33" spans="2:22" ht="15.6" x14ac:dyDescent="0.3">
      <c r="B33" s="20">
        <f>SUM(B3:B32)</f>
        <v>3359581</v>
      </c>
      <c r="C33" s="20"/>
      <c r="D33" s="20"/>
      <c r="E33" s="20">
        <f>SUM(E3:E32)</f>
        <v>136439</v>
      </c>
      <c r="F33" s="20"/>
      <c r="G33" s="20"/>
      <c r="H33" s="20">
        <f>SUM(H3:H32)</f>
        <v>9878</v>
      </c>
      <c r="I33" s="20"/>
      <c r="J33" s="20"/>
      <c r="K33" s="20">
        <f>SUM(K3:K32)</f>
        <v>55896</v>
      </c>
      <c r="L33" s="20"/>
      <c r="M33" s="20"/>
      <c r="N33" s="20">
        <f>SUM(N3:N32)</f>
        <v>242193</v>
      </c>
      <c r="O33" s="20">
        <f>SUM(O3:O32)</f>
        <v>3252676</v>
      </c>
      <c r="P33" s="20">
        <f>SUM(P3:P32)</f>
        <v>66925</v>
      </c>
      <c r="Q33" s="20">
        <f>SUM(Q3:Q32)</f>
        <v>14223</v>
      </c>
      <c r="R33" s="20">
        <f>SUM(R3:R32)</f>
        <v>148482</v>
      </c>
      <c r="S33" s="21"/>
      <c r="T33" s="18">
        <f>+N33+O33+P33+Q33+R33</f>
        <v>3724499</v>
      </c>
      <c r="U33" s="26">
        <f>SUM(U3:U32)</f>
        <v>3734664</v>
      </c>
      <c r="V33" s="26">
        <f>SUM(V3:V32)</f>
        <v>-10165</v>
      </c>
    </row>
    <row r="35" spans="2:22" x14ac:dyDescent="0.3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P35" s="18"/>
      <c r="Q35" s="18"/>
      <c r="R35" s="18"/>
    </row>
    <row r="37" spans="2:22" x14ac:dyDescent="0.3">
      <c r="B37" s="18"/>
      <c r="E37" s="18"/>
      <c r="H37" s="18"/>
      <c r="K37" s="18"/>
      <c r="Q37" s="37"/>
    </row>
    <row r="38" spans="2:22" x14ac:dyDescent="0.3">
      <c r="Q38" s="37"/>
    </row>
    <row r="39" spans="2:22" x14ac:dyDescent="0.3">
      <c r="Q39" s="18"/>
    </row>
    <row r="40" spans="2:22" x14ac:dyDescent="0.3">
      <c r="Q40" s="36"/>
    </row>
    <row r="41" spans="2:22" x14ac:dyDescent="0.3">
      <c r="Q41" s="18"/>
    </row>
  </sheetData>
  <mergeCells count="1">
    <mergeCell ref="Q1:R1"/>
  </mergeCells>
  <pageMargins left="0.7" right="0.7" top="0.75" bottom="0.75" header="0.3" footer="0.3"/>
  <pageSetup paperSize="9" scale="6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activeCell="E15" sqref="E15"/>
    </sheetView>
  </sheetViews>
  <sheetFormatPr defaultRowHeight="14.4" x14ac:dyDescent="0.3"/>
  <cols>
    <col min="1" max="1" width="13.109375" customWidth="1"/>
    <col min="2" max="4" width="12.88671875" style="25" bestFit="1" customWidth="1"/>
    <col min="5" max="5" width="11.5546875" bestFit="1" customWidth="1"/>
    <col min="7" max="7" width="12.88671875" style="25" bestFit="1" customWidth="1"/>
    <col min="8" max="8" width="10.33203125" style="25" bestFit="1" customWidth="1"/>
  </cols>
  <sheetData>
    <row r="1" spans="1:6" x14ac:dyDescent="0.3">
      <c r="A1" s="23" t="s">
        <v>35</v>
      </c>
      <c r="B1" s="24"/>
      <c r="C1" s="24"/>
    </row>
    <row r="2" spans="1:6" x14ac:dyDescent="0.3">
      <c r="A2" s="18" t="s">
        <v>32</v>
      </c>
      <c r="B2" s="26">
        <v>54383</v>
      </c>
      <c r="C2" s="26">
        <v>40465</v>
      </c>
    </row>
    <row r="3" spans="1:6" x14ac:dyDescent="0.3">
      <c r="A3" t="s">
        <v>33</v>
      </c>
      <c r="B3" s="26">
        <v>1075089.5</v>
      </c>
      <c r="C3" s="26">
        <v>1600880.41</v>
      </c>
    </row>
    <row r="4" spans="1:6" x14ac:dyDescent="0.3">
      <c r="B4" s="26"/>
      <c r="C4" s="26"/>
    </row>
    <row r="5" spans="1:6" x14ac:dyDescent="0.3">
      <c r="A5" s="23" t="s">
        <v>34</v>
      </c>
      <c r="B5" s="24"/>
      <c r="C5" s="24"/>
    </row>
    <row r="6" spans="1:6" x14ac:dyDescent="0.3">
      <c r="A6" s="18" t="s">
        <v>32</v>
      </c>
      <c r="B6" s="26">
        <v>118049</v>
      </c>
      <c r="C6" s="26"/>
    </row>
    <row r="7" spans="1:6" x14ac:dyDescent="0.3">
      <c r="A7" t="s">
        <v>33</v>
      </c>
      <c r="B7" s="26">
        <v>564101</v>
      </c>
      <c r="C7" s="26"/>
    </row>
    <row r="8" spans="1:6" x14ac:dyDescent="0.3">
      <c r="B8" s="26"/>
      <c r="C8" s="26"/>
    </row>
    <row r="9" spans="1:6" x14ac:dyDescent="0.3">
      <c r="B9" s="26"/>
      <c r="C9" s="26"/>
    </row>
    <row r="10" spans="1:6" x14ac:dyDescent="0.3">
      <c r="B10" s="26"/>
      <c r="C10" s="26"/>
      <c r="E10" s="18"/>
      <c r="F10" s="18"/>
    </row>
    <row r="11" spans="1:6" x14ac:dyDescent="0.3">
      <c r="B11" s="26"/>
      <c r="C11" s="26"/>
      <c r="E11" s="18"/>
      <c r="F11" s="18"/>
    </row>
    <row r="12" spans="1:6" x14ac:dyDescent="0.3">
      <c r="B12" s="26"/>
      <c r="C12" s="26"/>
    </row>
    <row r="13" spans="1:6" x14ac:dyDescent="0.3">
      <c r="B13" s="26"/>
      <c r="C13" s="26"/>
    </row>
    <row r="14" spans="1:6" x14ac:dyDescent="0.3">
      <c r="B14" s="26"/>
      <c r="C14" s="26"/>
    </row>
    <row r="15" spans="1:6" x14ac:dyDescent="0.3">
      <c r="B15" s="26"/>
      <c r="C15" s="26"/>
    </row>
    <row r="18" spans="1:2" x14ac:dyDescent="0.3">
      <c r="A18" s="66"/>
      <c r="B18" s="27"/>
    </row>
    <row r="19" spans="1:2" ht="15" thickBot="1" x14ac:dyDescent="0.35">
      <c r="A19" s="67"/>
      <c r="B19" s="28"/>
    </row>
    <row r="20" spans="1:2" ht="15" thickBot="1" x14ac:dyDescent="0.35">
      <c r="A20" s="29"/>
      <c r="B20" s="30"/>
    </row>
    <row r="21" spans="1:2" ht="15" thickBot="1" x14ac:dyDescent="0.35">
      <c r="A21" s="29"/>
      <c r="B21" s="30"/>
    </row>
    <row r="22" spans="1:2" ht="15" thickBot="1" x14ac:dyDescent="0.35">
      <c r="A22" s="29"/>
      <c r="B22" s="30"/>
    </row>
    <row r="23" spans="1:2" ht="15" thickBot="1" x14ac:dyDescent="0.35">
      <c r="A23" s="29"/>
      <c r="B23" s="30"/>
    </row>
    <row r="24" spans="1:2" ht="15" thickBot="1" x14ac:dyDescent="0.35">
      <c r="A24" s="29"/>
      <c r="B24" s="30"/>
    </row>
    <row r="25" spans="1:2" ht="15" thickBot="1" x14ac:dyDescent="0.35">
      <c r="A25" s="29"/>
      <c r="B25" s="30"/>
    </row>
    <row r="26" spans="1:2" ht="15" thickBot="1" x14ac:dyDescent="0.35">
      <c r="A26" s="29"/>
      <c r="B26" s="30"/>
    </row>
    <row r="27" spans="1:2" ht="15" thickBot="1" x14ac:dyDescent="0.35">
      <c r="A27" s="29"/>
      <c r="B27" s="30"/>
    </row>
    <row r="28" spans="1:2" ht="15" thickBot="1" x14ac:dyDescent="0.35">
      <c r="A28" s="29"/>
      <c r="B28" s="30"/>
    </row>
    <row r="29" spans="1:2" ht="15" thickBot="1" x14ac:dyDescent="0.35">
      <c r="A29" s="29"/>
      <c r="B29" s="30"/>
    </row>
    <row r="30" spans="1:2" ht="15" thickBot="1" x14ac:dyDescent="0.35">
      <c r="A30" s="29"/>
      <c r="B30" s="30"/>
    </row>
    <row r="31" spans="1:2" ht="15" thickBot="1" x14ac:dyDescent="0.35">
      <c r="A31" s="29"/>
      <c r="B31" s="30"/>
    </row>
    <row r="32" spans="1:2" ht="15" thickBot="1" x14ac:dyDescent="0.35">
      <c r="A32" s="29"/>
      <c r="B32" s="30"/>
    </row>
    <row r="33" spans="1:2" ht="15" thickBot="1" x14ac:dyDescent="0.35">
      <c r="A33" s="29"/>
      <c r="B33" s="30"/>
    </row>
    <row r="34" spans="1:2" ht="15" thickBot="1" x14ac:dyDescent="0.35">
      <c r="A34" s="29"/>
      <c r="B34" s="30"/>
    </row>
    <row r="35" spans="1:2" ht="15" thickBot="1" x14ac:dyDescent="0.35">
      <c r="A35" s="29"/>
      <c r="B35" s="30"/>
    </row>
    <row r="36" spans="1:2" ht="15" thickBot="1" x14ac:dyDescent="0.35">
      <c r="A36" s="29"/>
      <c r="B36" s="30"/>
    </row>
    <row r="37" spans="1:2" ht="15" thickBot="1" x14ac:dyDescent="0.35">
      <c r="A37" s="29"/>
      <c r="B37" s="30"/>
    </row>
    <row r="38" spans="1:2" ht="15" thickBot="1" x14ac:dyDescent="0.35">
      <c r="A38" s="29"/>
      <c r="B38" s="30"/>
    </row>
    <row r="39" spans="1:2" ht="15" thickBot="1" x14ac:dyDescent="0.35">
      <c r="A39" s="29"/>
      <c r="B39" s="30"/>
    </row>
    <row r="40" spans="1:2" ht="15" thickBot="1" x14ac:dyDescent="0.35">
      <c r="A40" s="29"/>
      <c r="B40" s="30"/>
    </row>
    <row r="41" spans="1:2" ht="15" thickBot="1" x14ac:dyDescent="0.35">
      <c r="A41" s="29"/>
      <c r="B41" s="30"/>
    </row>
    <row r="42" spans="1:2" ht="15" thickBot="1" x14ac:dyDescent="0.35">
      <c r="A42" s="29"/>
      <c r="B42" s="30"/>
    </row>
    <row r="43" spans="1:2" ht="15" thickBot="1" x14ac:dyDescent="0.35">
      <c r="A43" s="29"/>
      <c r="B43" s="30"/>
    </row>
    <row r="44" spans="1:2" ht="15" thickBot="1" x14ac:dyDescent="0.35">
      <c r="A44" s="29"/>
      <c r="B44" s="30"/>
    </row>
    <row r="45" spans="1:2" ht="15" thickBot="1" x14ac:dyDescent="0.35">
      <c r="A45" s="29"/>
      <c r="B45" s="30"/>
    </row>
    <row r="46" spans="1:2" ht="15" thickBot="1" x14ac:dyDescent="0.35">
      <c r="A46" s="29"/>
      <c r="B46" s="30"/>
    </row>
    <row r="47" spans="1:2" ht="15" thickBot="1" x14ac:dyDescent="0.35">
      <c r="A47" s="29"/>
      <c r="B47" s="30"/>
    </row>
    <row r="48" spans="1:2" ht="15" thickBot="1" x14ac:dyDescent="0.35">
      <c r="A48" s="29"/>
      <c r="B48" s="30"/>
    </row>
    <row r="49" spans="1:2" ht="15" thickBot="1" x14ac:dyDescent="0.35">
      <c r="A49" s="29"/>
      <c r="B49" s="30"/>
    </row>
    <row r="50" spans="1:2" ht="15" thickBot="1" x14ac:dyDescent="0.35">
      <c r="A50" s="31"/>
      <c r="B50" s="32"/>
    </row>
  </sheetData>
  <mergeCells count="1">
    <mergeCell ref="A18:A1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zoomScaleNormal="100" workbookViewId="0">
      <selection activeCell="E14" sqref="E14"/>
    </sheetView>
  </sheetViews>
  <sheetFormatPr defaultRowHeight="14.4" x14ac:dyDescent="0.3"/>
  <cols>
    <col min="1" max="1" width="10.109375" style="4" bestFit="1" customWidth="1"/>
    <col min="2" max="2" width="11.88671875" bestFit="1" customWidth="1"/>
    <col min="3" max="4" width="11.5546875" customWidth="1"/>
    <col min="5" max="7" width="11.33203125" customWidth="1"/>
    <col min="8" max="8" width="9.21875" bestFit="1" customWidth="1"/>
    <col min="11" max="11" width="10.109375" bestFit="1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33.8867187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65" t="s">
        <v>8</v>
      </c>
      <c r="R1" s="65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45778</v>
      </c>
      <c r="B3" s="16">
        <f>89390+120225</f>
        <v>209615</v>
      </c>
      <c r="C3" s="11">
        <f>B3/1.1</f>
        <v>190559.09090909088</v>
      </c>
      <c r="D3" s="11">
        <f>C3*10/100</f>
        <v>19055.909090909088</v>
      </c>
      <c r="E3" s="16">
        <f>6835+2695</f>
        <v>9530</v>
      </c>
      <c r="F3" s="11">
        <f>E3/1.1</f>
        <v>8663.6363636363621</v>
      </c>
      <c r="G3" s="11">
        <f>F3*10/100</f>
        <v>866.36363636363615</v>
      </c>
      <c r="H3" s="11">
        <v>0</v>
      </c>
      <c r="I3" s="11">
        <f>H3/1.2</f>
        <v>0</v>
      </c>
      <c r="J3" s="11">
        <f>I3*20/100</f>
        <v>0</v>
      </c>
      <c r="K3" s="16">
        <f>2080+2190</f>
        <v>4270</v>
      </c>
      <c r="L3" s="11">
        <f>K3/1.2</f>
        <v>3558.3333333333335</v>
      </c>
      <c r="M3" s="11">
        <f>L3*20/100</f>
        <v>711.66666666666674</v>
      </c>
      <c r="N3" s="16">
        <f>2800+4528</f>
        <v>7328</v>
      </c>
      <c r="O3" s="16">
        <f>93600+133667-13200</f>
        <v>214067</v>
      </c>
      <c r="P3" s="16">
        <f>1905+115</f>
        <v>2020</v>
      </c>
      <c r="Q3" s="11">
        <v>0</v>
      </c>
      <c r="R3" s="16">
        <v>13200</v>
      </c>
      <c r="S3" s="12" t="s">
        <v>30</v>
      </c>
    </row>
    <row r="4" spans="1:19" x14ac:dyDescent="0.3">
      <c r="A4" s="3">
        <v>45779</v>
      </c>
      <c r="B4" s="16">
        <f>67235+26645</f>
        <v>93880</v>
      </c>
      <c r="C4" s="11">
        <f t="shared" ref="C4:C30" si="0">B4/1.1</f>
        <v>85345.454545454544</v>
      </c>
      <c r="D4" s="11">
        <f t="shared" ref="D4:D30" si="1">C4*10/100</f>
        <v>8534.545454545454</v>
      </c>
      <c r="E4" s="16">
        <f>6800+2430</f>
        <v>9230</v>
      </c>
      <c r="F4" s="11">
        <f t="shared" ref="F4:F30" si="2">E4/1.1</f>
        <v>8390.9090909090901</v>
      </c>
      <c r="G4" s="11">
        <f t="shared" ref="G4:G30" si="3">F4*10/100</f>
        <v>839.09090909090901</v>
      </c>
      <c r="H4" s="11">
        <f>0</f>
        <v>0</v>
      </c>
      <c r="I4" s="11">
        <f t="shared" ref="I4:I30" si="4">H4/1.2</f>
        <v>0</v>
      </c>
      <c r="J4" s="11">
        <f t="shared" ref="J4:J30" si="5">I4*20/100</f>
        <v>0</v>
      </c>
      <c r="K4" s="16">
        <f>1920+960</f>
        <v>2880</v>
      </c>
      <c r="L4" s="11">
        <f t="shared" ref="L4:L30" si="6">K4/1.2</f>
        <v>2400</v>
      </c>
      <c r="M4" s="11">
        <f t="shared" ref="M4:M30" si="7">L4*20/100</f>
        <v>480</v>
      </c>
      <c r="N4" s="16">
        <f>6525+1790</f>
        <v>8315</v>
      </c>
      <c r="O4" s="16">
        <f>69430+28245</f>
        <v>97675</v>
      </c>
      <c r="P4" s="11">
        <v>0</v>
      </c>
      <c r="Q4" s="11">
        <v>0</v>
      </c>
      <c r="R4" s="16">
        <v>4380</v>
      </c>
      <c r="S4" s="12" t="s">
        <v>29</v>
      </c>
    </row>
    <row r="5" spans="1:19" x14ac:dyDescent="0.3">
      <c r="A5" s="3">
        <v>45780</v>
      </c>
      <c r="B5" s="16">
        <f>67645+77285</f>
        <v>144930</v>
      </c>
      <c r="C5" s="11">
        <f t="shared" si="0"/>
        <v>131754.54545454544</v>
      </c>
      <c r="D5" s="11">
        <f t="shared" si="1"/>
        <v>13175.454545454544</v>
      </c>
      <c r="E5" s="16">
        <f>3580+5320</f>
        <v>8900</v>
      </c>
      <c r="F5" s="11">
        <f t="shared" si="2"/>
        <v>8090.9090909090901</v>
      </c>
      <c r="G5" s="11">
        <f t="shared" si="3"/>
        <v>809.09090909090901</v>
      </c>
      <c r="H5" s="16">
        <v>600</v>
      </c>
      <c r="I5" s="11">
        <f t="shared" si="4"/>
        <v>500</v>
      </c>
      <c r="J5" s="11">
        <f t="shared" si="5"/>
        <v>100</v>
      </c>
      <c r="K5" s="16">
        <f>2790+2480</f>
        <v>5270</v>
      </c>
      <c r="L5" s="11">
        <f t="shared" si="6"/>
        <v>4391.666666666667</v>
      </c>
      <c r="M5" s="11">
        <f t="shared" si="7"/>
        <v>878.33333333333348</v>
      </c>
      <c r="N5" s="16">
        <f>2635</f>
        <v>2635</v>
      </c>
      <c r="O5" s="16">
        <f>69590+85685</f>
        <v>155275</v>
      </c>
      <c r="P5" s="16">
        <v>1790</v>
      </c>
      <c r="Q5" s="11">
        <v>0</v>
      </c>
      <c r="R5" s="16">
        <v>6010</v>
      </c>
      <c r="S5" s="12"/>
    </row>
    <row r="6" spans="1:19" x14ac:dyDescent="0.3">
      <c r="A6" s="3">
        <v>45781</v>
      </c>
      <c r="B6" s="16">
        <f>140625+126187</f>
        <v>266812</v>
      </c>
      <c r="C6" s="11">
        <f t="shared" si="0"/>
        <v>242556.36363636362</v>
      </c>
      <c r="D6" s="11">
        <f t="shared" si="1"/>
        <v>24255.636363636364</v>
      </c>
      <c r="E6" s="16">
        <f>7705+11210</f>
        <v>18915</v>
      </c>
      <c r="F6" s="11">
        <f t="shared" si="2"/>
        <v>17195.454545454544</v>
      </c>
      <c r="G6" s="11">
        <f t="shared" si="3"/>
        <v>1719.5454545454545</v>
      </c>
      <c r="H6" s="16">
        <v>400</v>
      </c>
      <c r="I6" s="11">
        <f t="shared" si="4"/>
        <v>333.33333333333337</v>
      </c>
      <c r="J6" s="11">
        <f t="shared" si="5"/>
        <v>66.666666666666686</v>
      </c>
      <c r="K6" s="16">
        <f>1280+2640</f>
        <v>3920</v>
      </c>
      <c r="L6" s="11">
        <f t="shared" si="6"/>
        <v>3266.666666666667</v>
      </c>
      <c r="M6" s="11">
        <f t="shared" si="7"/>
        <v>653.33333333333348</v>
      </c>
      <c r="N6" s="16">
        <f>8700+6495</f>
        <v>15195</v>
      </c>
      <c r="O6" s="16">
        <f>135245+133668</f>
        <v>268913</v>
      </c>
      <c r="P6" s="16">
        <f>5665+274</f>
        <v>5939</v>
      </c>
      <c r="Q6" s="11">
        <v>0</v>
      </c>
      <c r="R6" s="11">
        <v>0</v>
      </c>
      <c r="S6" s="19" t="s">
        <v>31</v>
      </c>
    </row>
    <row r="7" spans="1:19" x14ac:dyDescent="0.3">
      <c r="A7" s="3">
        <v>45783</v>
      </c>
      <c r="B7" s="16">
        <f>1948+101720</f>
        <v>103668</v>
      </c>
      <c r="C7" s="11">
        <f t="shared" si="0"/>
        <v>94243.636363636353</v>
      </c>
      <c r="D7" s="11">
        <f t="shared" si="1"/>
        <v>9424.363636363636</v>
      </c>
      <c r="E7" s="16">
        <f>9610</f>
        <v>9610</v>
      </c>
      <c r="F7" s="11">
        <f t="shared" si="2"/>
        <v>8736.363636363636</v>
      </c>
      <c r="G7" s="11">
        <f t="shared" si="3"/>
        <v>873.63636363636351</v>
      </c>
      <c r="H7" s="16">
        <v>200</v>
      </c>
      <c r="I7" s="11">
        <f t="shared" si="4"/>
        <v>166.66666666666669</v>
      </c>
      <c r="J7" s="11">
        <f t="shared" si="5"/>
        <v>33.333333333333343</v>
      </c>
      <c r="K7" s="16">
        <v>3120</v>
      </c>
      <c r="L7" s="11">
        <f t="shared" si="6"/>
        <v>2600</v>
      </c>
      <c r="M7" s="11">
        <f t="shared" si="7"/>
        <v>520</v>
      </c>
      <c r="N7" s="16">
        <f>1948+5625</f>
        <v>7573</v>
      </c>
      <c r="O7" s="16">
        <f>109025-3580</f>
        <v>105445</v>
      </c>
      <c r="P7" s="16">
        <v>3580</v>
      </c>
      <c r="Q7" s="11">
        <v>0</v>
      </c>
      <c r="R7" s="16">
        <f>10660+14885</f>
        <v>25545</v>
      </c>
      <c r="S7" s="12"/>
    </row>
    <row r="8" spans="1:19" x14ac:dyDescent="0.3">
      <c r="A8" s="3">
        <v>45784</v>
      </c>
      <c r="B8" s="16">
        <v>86160</v>
      </c>
      <c r="C8" s="11">
        <f t="shared" si="0"/>
        <v>78327.272727272721</v>
      </c>
      <c r="D8" s="11">
        <f t="shared" si="1"/>
        <v>7832.7272727272721</v>
      </c>
      <c r="E8" s="16">
        <v>5685</v>
      </c>
      <c r="F8" s="11">
        <f t="shared" si="2"/>
        <v>5168.181818181818</v>
      </c>
      <c r="G8" s="11">
        <f t="shared" si="3"/>
        <v>516.81818181818176</v>
      </c>
      <c r="H8" s="16">
        <v>300</v>
      </c>
      <c r="I8" s="11">
        <f t="shared" si="4"/>
        <v>250</v>
      </c>
      <c r="J8" s="11">
        <f t="shared" si="5"/>
        <v>50</v>
      </c>
      <c r="K8" s="16">
        <v>3440</v>
      </c>
      <c r="L8" s="11">
        <f t="shared" si="6"/>
        <v>2866.666666666667</v>
      </c>
      <c r="M8" s="11">
        <f t="shared" si="7"/>
        <v>573.33333333333348</v>
      </c>
      <c r="N8" s="16">
        <v>9665</v>
      </c>
      <c r="O8" s="16">
        <v>85920</v>
      </c>
      <c r="P8" s="11">
        <v>0</v>
      </c>
      <c r="Q8" s="11">
        <v>0</v>
      </c>
      <c r="R8" s="11">
        <v>0</v>
      </c>
      <c r="S8" s="12"/>
    </row>
    <row r="9" spans="1:19" x14ac:dyDescent="0.3">
      <c r="A9" s="3">
        <v>45785</v>
      </c>
      <c r="B9" s="16">
        <f>13806+72335</f>
        <v>86141</v>
      </c>
      <c r="C9" s="11">
        <f t="shared" si="0"/>
        <v>78310</v>
      </c>
      <c r="D9" s="11">
        <f t="shared" si="1"/>
        <v>7831</v>
      </c>
      <c r="E9" s="16">
        <f>1145+4155</f>
        <v>5300</v>
      </c>
      <c r="F9" s="11">
        <f t="shared" si="2"/>
        <v>4818.181818181818</v>
      </c>
      <c r="G9" s="11">
        <f t="shared" si="3"/>
        <v>481.81818181818176</v>
      </c>
      <c r="H9" s="16">
        <v>1500</v>
      </c>
      <c r="I9" s="11">
        <f t="shared" si="4"/>
        <v>1250</v>
      </c>
      <c r="J9" s="11">
        <f t="shared" si="5"/>
        <v>250</v>
      </c>
      <c r="K9" s="16">
        <f>720+2320</f>
        <v>3040</v>
      </c>
      <c r="L9" s="11">
        <f t="shared" si="6"/>
        <v>2533.3333333333335</v>
      </c>
      <c r="M9" s="11">
        <f t="shared" si="7"/>
        <v>506.66666666666674</v>
      </c>
      <c r="N9" s="16">
        <v>3705</v>
      </c>
      <c r="O9" s="16">
        <f>15671+76605</f>
        <v>92276</v>
      </c>
      <c r="P9" s="11">
        <v>0</v>
      </c>
      <c r="Q9" s="11">
        <v>0</v>
      </c>
      <c r="R9" s="11">
        <v>0</v>
      </c>
      <c r="S9" s="12" t="s">
        <v>36</v>
      </c>
    </row>
    <row r="10" spans="1:19" x14ac:dyDescent="0.3">
      <c r="A10" s="3">
        <v>45786</v>
      </c>
      <c r="B10" s="16">
        <f>40075+68885</f>
        <v>108960</v>
      </c>
      <c r="C10" s="11">
        <f t="shared" si="0"/>
        <v>99054.545454545441</v>
      </c>
      <c r="D10" s="11">
        <f t="shared" si="1"/>
        <v>9905.4545454545441</v>
      </c>
      <c r="E10" s="16">
        <f>4405+3760</f>
        <v>8165</v>
      </c>
      <c r="F10" s="11">
        <f t="shared" si="2"/>
        <v>7422.7272727272721</v>
      </c>
      <c r="G10" s="11">
        <f t="shared" si="3"/>
        <v>742.27272727272725</v>
      </c>
      <c r="H10" s="11">
        <v>0</v>
      </c>
      <c r="I10" s="11">
        <f t="shared" si="4"/>
        <v>0</v>
      </c>
      <c r="J10" s="11">
        <f t="shared" si="5"/>
        <v>0</v>
      </c>
      <c r="K10" s="16">
        <f>2240+2560</f>
        <v>4800</v>
      </c>
      <c r="L10" s="11">
        <f t="shared" si="6"/>
        <v>4000</v>
      </c>
      <c r="M10" s="11">
        <f t="shared" si="7"/>
        <v>800</v>
      </c>
      <c r="N10" s="16">
        <f>865+895</f>
        <v>1760</v>
      </c>
      <c r="O10" s="16">
        <f>45885+74310-895-30</f>
        <v>119270</v>
      </c>
      <c r="P10" s="16">
        <v>895</v>
      </c>
      <c r="Q10" s="11">
        <v>0</v>
      </c>
      <c r="R10" s="11">
        <v>0</v>
      </c>
      <c r="S10" s="12"/>
    </row>
    <row r="11" spans="1:19" x14ac:dyDescent="0.3">
      <c r="A11" s="3">
        <v>45787</v>
      </c>
      <c r="B11" s="16">
        <f>103925+86835</f>
        <v>190760</v>
      </c>
      <c r="C11" s="11">
        <f t="shared" si="0"/>
        <v>173418.18181818179</v>
      </c>
      <c r="D11" s="11">
        <f t="shared" si="1"/>
        <v>17341.81818181818</v>
      </c>
      <c r="E11" s="16">
        <f>5210+6600</f>
        <v>11810</v>
      </c>
      <c r="F11" s="11">
        <f t="shared" si="2"/>
        <v>10736.363636363636</v>
      </c>
      <c r="G11" s="11">
        <f t="shared" si="3"/>
        <v>1073.6363636363635</v>
      </c>
      <c r="H11" s="11">
        <v>0</v>
      </c>
      <c r="I11" s="11">
        <f t="shared" si="4"/>
        <v>0</v>
      </c>
      <c r="J11" s="11">
        <f t="shared" si="5"/>
        <v>0</v>
      </c>
      <c r="K11" s="16">
        <f>6035+1840</f>
        <v>7875</v>
      </c>
      <c r="L11" s="11">
        <f t="shared" si="6"/>
        <v>6562.5</v>
      </c>
      <c r="M11" s="11">
        <f t="shared" si="7"/>
        <v>1312.5</v>
      </c>
      <c r="N11" s="16">
        <f>2915+3675</f>
        <v>6590</v>
      </c>
      <c r="O11" s="16">
        <f>120055-11325+91600</f>
        <v>200330</v>
      </c>
      <c r="P11" s="16">
        <v>3525</v>
      </c>
      <c r="Q11" s="11">
        <v>0</v>
      </c>
      <c r="R11" s="16">
        <f>11325+1790+12920</f>
        <v>26035</v>
      </c>
      <c r="S11" s="12"/>
    </row>
    <row r="12" spans="1:19" x14ac:dyDescent="0.3">
      <c r="A12" s="3">
        <v>45788</v>
      </c>
      <c r="B12" s="16">
        <f>165545+146041</f>
        <v>311586</v>
      </c>
      <c r="C12" s="11">
        <f t="shared" si="0"/>
        <v>283260</v>
      </c>
      <c r="D12" s="11">
        <f t="shared" si="1"/>
        <v>28326</v>
      </c>
      <c r="E12" s="16">
        <f>7945+7560</f>
        <v>15505</v>
      </c>
      <c r="F12" s="11">
        <f t="shared" si="2"/>
        <v>14095.454545454544</v>
      </c>
      <c r="G12" s="11">
        <f t="shared" si="3"/>
        <v>1409.5454545454545</v>
      </c>
      <c r="H12" s="16">
        <f>940+300</f>
        <v>1240</v>
      </c>
      <c r="I12" s="11">
        <f t="shared" si="4"/>
        <v>1033.3333333333335</v>
      </c>
      <c r="J12" s="11">
        <f t="shared" si="5"/>
        <v>206.66666666666671</v>
      </c>
      <c r="K12" s="16">
        <f>2560+4080</f>
        <v>6640</v>
      </c>
      <c r="L12" s="11">
        <f t="shared" si="6"/>
        <v>5533.3333333333339</v>
      </c>
      <c r="M12" s="11">
        <f t="shared" si="7"/>
        <v>1106.666666666667</v>
      </c>
      <c r="N12" s="16">
        <f>13265+4790</f>
        <v>18055</v>
      </c>
      <c r="O12" s="16">
        <f>164075-5370+150631</f>
        <v>309336</v>
      </c>
      <c r="P12" s="16">
        <f>2560+5020</f>
        <v>7580</v>
      </c>
      <c r="Q12" s="11">
        <v>0</v>
      </c>
      <c r="R12" s="16">
        <v>5370</v>
      </c>
      <c r="S12" s="12" t="s">
        <v>37</v>
      </c>
    </row>
    <row r="13" spans="1:19" x14ac:dyDescent="0.3">
      <c r="A13" s="3">
        <v>45790</v>
      </c>
      <c r="B13" s="16">
        <f>56690+52250</f>
        <v>108940</v>
      </c>
      <c r="C13" s="11">
        <f t="shared" si="0"/>
        <v>99036.363636363632</v>
      </c>
      <c r="D13" s="11">
        <f t="shared" si="1"/>
        <v>9903.636363636364</v>
      </c>
      <c r="E13" s="16">
        <f>6930+6930</f>
        <v>13860</v>
      </c>
      <c r="F13" s="11">
        <f t="shared" si="2"/>
        <v>12599.999999999998</v>
      </c>
      <c r="G13" s="11">
        <f t="shared" si="3"/>
        <v>1259.9999999999998</v>
      </c>
      <c r="H13" s="16">
        <v>800</v>
      </c>
      <c r="I13" s="11">
        <f t="shared" si="4"/>
        <v>666.66666666666674</v>
      </c>
      <c r="J13" s="11">
        <f t="shared" si="5"/>
        <v>133.33333333333337</v>
      </c>
      <c r="K13" s="16">
        <f>1200+2640</f>
        <v>3840</v>
      </c>
      <c r="L13" s="11">
        <f t="shared" si="6"/>
        <v>3200</v>
      </c>
      <c r="M13" s="11">
        <f t="shared" si="7"/>
        <v>640</v>
      </c>
      <c r="N13" s="16">
        <f>1070+1790</f>
        <v>2860</v>
      </c>
      <c r="O13" s="16">
        <f>63750+60830</f>
        <v>124580</v>
      </c>
      <c r="P13" s="11">
        <v>0</v>
      </c>
      <c r="Q13" s="11">
        <v>0</v>
      </c>
      <c r="R13" s="16">
        <f>23470+7075</f>
        <v>30545</v>
      </c>
      <c r="S13" s="12"/>
    </row>
    <row r="14" spans="1:19" x14ac:dyDescent="0.3">
      <c r="A14" s="3">
        <v>45791</v>
      </c>
      <c r="B14" s="16">
        <f>21290+81952.5</f>
        <v>103242.5</v>
      </c>
      <c r="C14" s="11">
        <f t="shared" si="0"/>
        <v>93856.818181818177</v>
      </c>
      <c r="D14" s="11">
        <f t="shared" si="1"/>
        <v>9385.681818181818</v>
      </c>
      <c r="E14" s="16">
        <f>545+5145</f>
        <v>5690</v>
      </c>
      <c r="F14" s="11">
        <f t="shared" si="2"/>
        <v>5172.7272727272721</v>
      </c>
      <c r="G14" s="11">
        <f t="shared" si="3"/>
        <v>517.27272727272725</v>
      </c>
      <c r="H14" s="16">
        <v>135</v>
      </c>
      <c r="I14" s="11">
        <f t="shared" si="4"/>
        <v>112.5</v>
      </c>
      <c r="J14" s="11">
        <f t="shared" si="5"/>
        <v>22.5</v>
      </c>
      <c r="K14" s="16">
        <f>800+4080</f>
        <v>4880</v>
      </c>
      <c r="L14" s="11">
        <f t="shared" si="6"/>
        <v>4066.666666666667</v>
      </c>
      <c r="M14" s="11">
        <f t="shared" si="7"/>
        <v>813.33333333333348</v>
      </c>
      <c r="N14" s="16">
        <v>7980</v>
      </c>
      <c r="O14" s="16">
        <f>22635+81312.5</f>
        <v>103947.5</v>
      </c>
      <c r="P14" s="16">
        <v>2020</v>
      </c>
      <c r="Q14" s="11">
        <v>0</v>
      </c>
      <c r="R14" s="11">
        <v>0</v>
      </c>
      <c r="S14" s="12"/>
    </row>
    <row r="15" spans="1:19" x14ac:dyDescent="0.3">
      <c r="A15" s="3">
        <v>45792</v>
      </c>
      <c r="B15" s="16">
        <f>25110+67412</f>
        <v>92522</v>
      </c>
      <c r="C15" s="11">
        <f t="shared" si="0"/>
        <v>84110.909090909088</v>
      </c>
      <c r="D15" s="11">
        <f t="shared" si="1"/>
        <v>8411.0909090909081</v>
      </c>
      <c r="E15" s="16">
        <f>2105+7118</f>
        <v>9223</v>
      </c>
      <c r="F15" s="11">
        <f t="shared" si="2"/>
        <v>8384.545454545454</v>
      </c>
      <c r="G15" s="11">
        <f t="shared" si="3"/>
        <v>838.4545454545455</v>
      </c>
      <c r="H15" s="16">
        <v>500</v>
      </c>
      <c r="I15" s="11">
        <f t="shared" si="4"/>
        <v>416.66666666666669</v>
      </c>
      <c r="J15" s="11">
        <f t="shared" si="5"/>
        <v>83.333333333333343</v>
      </c>
      <c r="K15" s="16">
        <f>960+3440</f>
        <v>4400</v>
      </c>
      <c r="L15" s="11">
        <f t="shared" si="6"/>
        <v>3666.666666666667</v>
      </c>
      <c r="M15" s="11">
        <f t="shared" si="7"/>
        <v>733.33333333333348</v>
      </c>
      <c r="N15" s="16">
        <v>1115</v>
      </c>
      <c r="O15" s="16">
        <f>26385+77355</f>
        <v>103740</v>
      </c>
      <c r="P15" s="16">
        <v>1790</v>
      </c>
      <c r="Q15" s="11">
        <v>0</v>
      </c>
      <c r="R15" s="11">
        <v>0</v>
      </c>
      <c r="S15" s="12"/>
    </row>
    <row r="16" spans="1:19" x14ac:dyDescent="0.3">
      <c r="A16" s="3">
        <v>45793</v>
      </c>
      <c r="B16" s="16">
        <f>48014+48675</f>
        <v>96689</v>
      </c>
      <c r="C16" s="11">
        <f t="shared" si="0"/>
        <v>87899.090909090897</v>
      </c>
      <c r="D16" s="11">
        <f t="shared" si="1"/>
        <v>8789.9090909090901</v>
      </c>
      <c r="E16" s="16">
        <f>4250+2950</f>
        <v>7200</v>
      </c>
      <c r="F16" s="11">
        <f t="shared" si="2"/>
        <v>6545.454545454545</v>
      </c>
      <c r="G16" s="11">
        <f t="shared" si="3"/>
        <v>654.5454545454545</v>
      </c>
      <c r="H16" s="16">
        <v>1060</v>
      </c>
      <c r="I16" s="11">
        <f t="shared" si="4"/>
        <v>883.33333333333337</v>
      </c>
      <c r="J16" s="11">
        <f t="shared" si="5"/>
        <v>176.66666666666669</v>
      </c>
      <c r="K16" s="16">
        <f>1360+1760</f>
        <v>3120</v>
      </c>
      <c r="L16" s="11">
        <f t="shared" si="6"/>
        <v>2600</v>
      </c>
      <c r="M16" s="11">
        <f t="shared" si="7"/>
        <v>520</v>
      </c>
      <c r="N16" s="16">
        <f>4965</f>
        <v>4965</v>
      </c>
      <c r="O16" s="16">
        <f>50374+52420</f>
        <v>102794</v>
      </c>
      <c r="P16" s="16">
        <v>310</v>
      </c>
      <c r="Q16" s="11">
        <v>0</v>
      </c>
      <c r="R16" s="11">
        <v>0</v>
      </c>
      <c r="S16" s="12" t="s">
        <v>38</v>
      </c>
    </row>
    <row r="17" spans="1:19" x14ac:dyDescent="0.3">
      <c r="A17" s="3">
        <v>45794</v>
      </c>
      <c r="B17" s="16">
        <f>97422.5+95710</f>
        <v>193132.5</v>
      </c>
      <c r="C17" s="11">
        <f t="shared" si="0"/>
        <v>175575</v>
      </c>
      <c r="D17" s="11">
        <f t="shared" si="1"/>
        <v>17557.5</v>
      </c>
      <c r="E17" s="16">
        <f>6345+7650</f>
        <v>13995</v>
      </c>
      <c r="F17" s="11">
        <f t="shared" si="2"/>
        <v>12722.727272727272</v>
      </c>
      <c r="G17" s="11">
        <f t="shared" si="3"/>
        <v>1272.2727272727273</v>
      </c>
      <c r="H17" s="16">
        <f>1100+300</f>
        <v>1400</v>
      </c>
      <c r="I17" s="11">
        <f t="shared" si="4"/>
        <v>1166.6666666666667</v>
      </c>
      <c r="J17" s="11">
        <f t="shared" si="5"/>
        <v>233.33333333333337</v>
      </c>
      <c r="K17" s="16">
        <f>3120+2160</f>
        <v>5280</v>
      </c>
      <c r="L17" s="11">
        <f t="shared" si="6"/>
        <v>4400</v>
      </c>
      <c r="M17" s="11">
        <f t="shared" si="7"/>
        <v>880</v>
      </c>
      <c r="N17" s="16">
        <f>1125+6530</f>
        <v>7655</v>
      </c>
      <c r="O17" s="16">
        <f>104842.5+99975-2685</f>
        <v>202132.5</v>
      </c>
      <c r="P17" s="16">
        <f>2020+2000</f>
        <v>4020</v>
      </c>
      <c r="Q17" s="11">
        <v>0</v>
      </c>
      <c r="R17" s="16">
        <v>2685</v>
      </c>
      <c r="S17" s="12"/>
    </row>
    <row r="18" spans="1:19" x14ac:dyDescent="0.3">
      <c r="A18" s="3">
        <v>45795</v>
      </c>
      <c r="B18" s="16">
        <f>184075+72300</f>
        <v>256375</v>
      </c>
      <c r="C18" s="11">
        <f t="shared" si="0"/>
        <v>233068.18181818179</v>
      </c>
      <c r="D18" s="11">
        <f t="shared" si="1"/>
        <v>23306.81818181818</v>
      </c>
      <c r="E18" s="16">
        <f>10030+3730</f>
        <v>13760</v>
      </c>
      <c r="F18" s="11">
        <f t="shared" si="2"/>
        <v>12509.090909090908</v>
      </c>
      <c r="G18" s="11">
        <f t="shared" si="3"/>
        <v>1250.909090909091</v>
      </c>
      <c r="H18" s="16">
        <v>300</v>
      </c>
      <c r="I18" s="11">
        <f t="shared" si="4"/>
        <v>250</v>
      </c>
      <c r="J18" s="11">
        <f t="shared" si="5"/>
        <v>50</v>
      </c>
      <c r="K18" s="16">
        <f>4880+320</f>
        <v>5200</v>
      </c>
      <c r="L18" s="11">
        <f t="shared" si="6"/>
        <v>4333.3333333333339</v>
      </c>
      <c r="M18" s="11">
        <f t="shared" si="7"/>
        <v>866.66666666666686</v>
      </c>
      <c r="N18" s="16">
        <f>5730+3704</f>
        <v>9434</v>
      </c>
      <c r="O18" s="16">
        <f>233663-42773+72646</f>
        <v>263536</v>
      </c>
      <c r="P18" s="16">
        <v>2665</v>
      </c>
      <c r="Q18" s="11">
        <v>0</v>
      </c>
      <c r="R18" s="16">
        <v>42773</v>
      </c>
      <c r="S18" s="12"/>
    </row>
    <row r="19" spans="1:19" x14ac:dyDescent="0.3">
      <c r="A19" s="3">
        <v>45796</v>
      </c>
      <c r="B19" s="16">
        <f>31475+80515</f>
        <v>111990</v>
      </c>
      <c r="C19" s="11">
        <f t="shared" ref="C19" si="8">B19/1.1</f>
        <v>101809.0909090909</v>
      </c>
      <c r="D19" s="11">
        <f t="shared" ref="D19" si="9">C19*10/100</f>
        <v>10180.90909090909</v>
      </c>
      <c r="E19" s="16">
        <f>100+4550</f>
        <v>4650</v>
      </c>
      <c r="F19" s="11">
        <f t="shared" ref="F19" si="10">E19/1.1</f>
        <v>4227.272727272727</v>
      </c>
      <c r="G19" s="11">
        <f t="shared" ref="G19" si="11">F19*10/100</f>
        <v>422.72727272727275</v>
      </c>
      <c r="H19" s="16">
        <v>940</v>
      </c>
      <c r="I19" s="11">
        <f t="shared" ref="I19" si="12">H19/1.2</f>
        <v>783.33333333333337</v>
      </c>
      <c r="J19" s="11">
        <f t="shared" ref="J19" si="13">I19*20/100</f>
        <v>156.66666666666669</v>
      </c>
      <c r="K19" s="11">
        <v>0</v>
      </c>
      <c r="L19" s="11">
        <f t="shared" ref="L19" si="14">K19/1.2</f>
        <v>0</v>
      </c>
      <c r="M19" s="11">
        <f t="shared" ref="M19" si="15">L19*20/100</f>
        <v>0</v>
      </c>
      <c r="N19" s="16">
        <f>3730</f>
        <v>3730</v>
      </c>
      <c r="O19" s="16">
        <f>27845+86005</f>
        <v>113850</v>
      </c>
      <c r="P19" s="11">
        <v>0</v>
      </c>
      <c r="Q19" s="11">
        <v>0</v>
      </c>
      <c r="R19" s="16">
        <f>11755+1790</f>
        <v>13545</v>
      </c>
      <c r="S19" s="12" t="s">
        <v>39</v>
      </c>
    </row>
    <row r="20" spans="1:19" x14ac:dyDescent="0.3">
      <c r="A20" s="3">
        <v>45797</v>
      </c>
      <c r="B20" s="16">
        <v>48870</v>
      </c>
      <c r="C20" s="11">
        <f t="shared" si="0"/>
        <v>44427.272727272721</v>
      </c>
      <c r="D20" s="11">
        <f t="shared" si="1"/>
        <v>4442.7272727272721</v>
      </c>
      <c r="E20" s="16">
        <v>3865</v>
      </c>
      <c r="F20" s="11">
        <f t="shared" si="2"/>
        <v>3513.6363636363635</v>
      </c>
      <c r="G20" s="11">
        <f t="shared" si="3"/>
        <v>351.36363636363632</v>
      </c>
      <c r="H20" s="16">
        <v>130</v>
      </c>
      <c r="I20" s="11">
        <f t="shared" si="4"/>
        <v>108.33333333333334</v>
      </c>
      <c r="J20" s="11">
        <f t="shared" si="5"/>
        <v>21.666666666666671</v>
      </c>
      <c r="K20" s="16">
        <v>2560</v>
      </c>
      <c r="L20" s="11">
        <f t="shared" si="6"/>
        <v>2133.3333333333335</v>
      </c>
      <c r="M20" s="11">
        <f t="shared" si="7"/>
        <v>426.66666666666674</v>
      </c>
      <c r="N20" s="16">
        <v>2685</v>
      </c>
      <c r="O20" s="16">
        <v>49985</v>
      </c>
      <c r="P20" s="16">
        <v>2755</v>
      </c>
      <c r="Q20" s="11">
        <v>0</v>
      </c>
      <c r="R20" s="11">
        <v>0</v>
      </c>
      <c r="S20" s="12"/>
    </row>
    <row r="21" spans="1:19" x14ac:dyDescent="0.3">
      <c r="A21" s="3">
        <v>45798</v>
      </c>
      <c r="B21" s="16">
        <f>28545+90415</f>
        <v>118960</v>
      </c>
      <c r="C21" s="11">
        <f t="shared" si="0"/>
        <v>108145.45454545453</v>
      </c>
      <c r="D21" s="11">
        <f t="shared" si="1"/>
        <v>10814.545454545454</v>
      </c>
      <c r="E21" s="16">
        <f>1380+3720</f>
        <v>5100</v>
      </c>
      <c r="F21" s="11">
        <f t="shared" si="2"/>
        <v>4636.363636363636</v>
      </c>
      <c r="G21" s="11">
        <f t="shared" si="3"/>
        <v>463.63636363636363</v>
      </c>
      <c r="H21" s="16">
        <f>210+910</f>
        <v>1120</v>
      </c>
      <c r="I21" s="11">
        <f t="shared" si="4"/>
        <v>933.33333333333337</v>
      </c>
      <c r="J21" s="11">
        <f t="shared" si="5"/>
        <v>186.66666666666669</v>
      </c>
      <c r="K21" s="16">
        <f>400+3760</f>
        <v>4160</v>
      </c>
      <c r="L21" s="11">
        <f t="shared" si="6"/>
        <v>3466.666666666667</v>
      </c>
      <c r="M21" s="11">
        <f t="shared" si="7"/>
        <v>693.33333333333348</v>
      </c>
      <c r="N21" s="16">
        <f>4975+15955</f>
        <v>20930</v>
      </c>
      <c r="O21" s="16">
        <f>24405+82850</f>
        <v>107255</v>
      </c>
      <c r="P21" s="16">
        <v>1155</v>
      </c>
      <c r="Q21" s="11">
        <v>0</v>
      </c>
      <c r="R21" s="11">
        <v>0</v>
      </c>
      <c r="S21" s="12"/>
    </row>
    <row r="22" spans="1:19" x14ac:dyDescent="0.3">
      <c r="A22" s="3">
        <v>45799</v>
      </c>
      <c r="B22" s="16">
        <f>30516.75+76715</f>
        <v>107231.75</v>
      </c>
      <c r="C22" s="11">
        <f t="shared" si="0"/>
        <v>97483.409090909088</v>
      </c>
      <c r="D22" s="11">
        <f t="shared" si="1"/>
        <v>9748.3409090909081</v>
      </c>
      <c r="E22" s="16">
        <f>4171+3905</f>
        <v>8076</v>
      </c>
      <c r="F22" s="11">
        <f t="shared" si="2"/>
        <v>7341.8181818181811</v>
      </c>
      <c r="G22" s="11">
        <f t="shared" si="3"/>
        <v>734.18181818181813</v>
      </c>
      <c r="H22" s="16">
        <v>200</v>
      </c>
      <c r="I22" s="11">
        <f t="shared" si="4"/>
        <v>166.66666666666669</v>
      </c>
      <c r="J22" s="11">
        <f t="shared" si="5"/>
        <v>33.333333333333343</v>
      </c>
      <c r="K22" s="16">
        <v>3760</v>
      </c>
      <c r="L22" s="11">
        <f t="shared" si="6"/>
        <v>3133.3333333333335</v>
      </c>
      <c r="M22" s="11">
        <f t="shared" si="7"/>
        <v>626.66666666666674</v>
      </c>
      <c r="N22" s="16">
        <f>4500+2760</f>
        <v>7260</v>
      </c>
      <c r="O22" s="16">
        <f>30187.75+73395</f>
        <v>103582.75</v>
      </c>
      <c r="P22" s="16">
        <v>8425</v>
      </c>
      <c r="Q22" s="11">
        <v>0</v>
      </c>
      <c r="R22" s="16">
        <v>12000</v>
      </c>
      <c r="S22" s="12"/>
    </row>
    <row r="23" spans="1:19" x14ac:dyDescent="0.3">
      <c r="A23" s="3">
        <v>45800</v>
      </c>
      <c r="B23" s="16">
        <f>12995+74725-2975</f>
        <v>84745</v>
      </c>
      <c r="C23" s="11">
        <f t="shared" si="0"/>
        <v>77040.909090909088</v>
      </c>
      <c r="D23" s="11">
        <f t="shared" si="1"/>
        <v>7704.0909090909081</v>
      </c>
      <c r="E23" s="16">
        <f>795+8880</f>
        <v>9675</v>
      </c>
      <c r="F23" s="11">
        <f t="shared" si="2"/>
        <v>8795.4545454545441</v>
      </c>
      <c r="G23" s="11">
        <f t="shared" si="3"/>
        <v>879.54545454545439</v>
      </c>
      <c r="H23" s="11">
        <v>0</v>
      </c>
      <c r="I23" s="11">
        <f t="shared" si="4"/>
        <v>0</v>
      </c>
      <c r="J23" s="11">
        <f t="shared" si="5"/>
        <v>0</v>
      </c>
      <c r="K23" s="16">
        <f>640+3120-160</f>
        <v>3600</v>
      </c>
      <c r="L23" s="11">
        <f t="shared" si="6"/>
        <v>3000</v>
      </c>
      <c r="M23" s="11">
        <f t="shared" si="7"/>
        <v>600</v>
      </c>
      <c r="N23" s="16">
        <v>3050</v>
      </c>
      <c r="O23" s="16">
        <f>14430+82840-3135</f>
        <v>94135</v>
      </c>
      <c r="P23" s="16">
        <v>835</v>
      </c>
      <c r="Q23" s="11">
        <v>0</v>
      </c>
      <c r="R23" s="16">
        <v>3135</v>
      </c>
      <c r="S23" s="12"/>
    </row>
    <row r="24" spans="1:19" x14ac:dyDescent="0.3">
      <c r="A24" s="3">
        <v>45801</v>
      </c>
      <c r="B24" s="16">
        <f>126540+127250</f>
        <v>253790</v>
      </c>
      <c r="C24" s="11">
        <f t="shared" si="0"/>
        <v>230718.18181818179</v>
      </c>
      <c r="D24" s="11">
        <f t="shared" si="1"/>
        <v>23071.81818181818</v>
      </c>
      <c r="E24" s="16">
        <f>9875+12780</f>
        <v>22655</v>
      </c>
      <c r="F24" s="11">
        <f t="shared" si="2"/>
        <v>20595.454545454544</v>
      </c>
      <c r="G24" s="11">
        <f t="shared" si="3"/>
        <v>2059.5454545454545</v>
      </c>
      <c r="H24" s="16">
        <f>450+335</f>
        <v>785</v>
      </c>
      <c r="I24" s="11">
        <f t="shared" si="4"/>
        <v>654.16666666666674</v>
      </c>
      <c r="J24" s="11">
        <f t="shared" si="5"/>
        <v>130.83333333333337</v>
      </c>
      <c r="K24" s="16">
        <f>4640+800</f>
        <v>5440</v>
      </c>
      <c r="L24" s="11">
        <f t="shared" si="6"/>
        <v>4533.3333333333339</v>
      </c>
      <c r="M24" s="11">
        <f t="shared" si="7"/>
        <v>906.66666666666686</v>
      </c>
      <c r="N24" s="16">
        <f>3710+7052.5</f>
        <v>10762.5</v>
      </c>
      <c r="O24" s="16">
        <f>137795+134112.5-7780</f>
        <v>264127.5</v>
      </c>
      <c r="P24" s="16">
        <v>7780</v>
      </c>
      <c r="Q24" s="11">
        <v>0</v>
      </c>
      <c r="R24" s="16">
        <v>28800</v>
      </c>
      <c r="S24" s="12"/>
    </row>
    <row r="25" spans="1:19" x14ac:dyDescent="0.3">
      <c r="A25" s="3">
        <v>45802</v>
      </c>
      <c r="B25" s="16">
        <f>141565+82480</f>
        <v>224045</v>
      </c>
      <c r="C25" s="11">
        <f t="shared" si="0"/>
        <v>203677.27272727271</v>
      </c>
      <c r="D25" s="11">
        <f t="shared" si="1"/>
        <v>20367.727272727272</v>
      </c>
      <c r="E25" s="16">
        <f>12415+7420</f>
        <v>19835</v>
      </c>
      <c r="F25" s="11">
        <f t="shared" si="2"/>
        <v>18031.81818181818</v>
      </c>
      <c r="G25" s="11">
        <f t="shared" si="3"/>
        <v>1803.181818181818</v>
      </c>
      <c r="H25" s="16">
        <v>700</v>
      </c>
      <c r="I25" s="11">
        <f t="shared" si="4"/>
        <v>583.33333333333337</v>
      </c>
      <c r="J25" s="11">
        <f t="shared" si="5"/>
        <v>116.66666666666669</v>
      </c>
      <c r="K25" s="16">
        <f>3040+2320</f>
        <v>5360</v>
      </c>
      <c r="L25" s="11">
        <f t="shared" si="6"/>
        <v>4466.666666666667</v>
      </c>
      <c r="M25" s="11">
        <f t="shared" si="7"/>
        <v>893.33333333333348</v>
      </c>
      <c r="N25" s="16">
        <f>12455+4970</f>
        <v>17425</v>
      </c>
      <c r="O25" s="16">
        <f>145265+87250-4420</f>
        <v>228095</v>
      </c>
      <c r="P25" s="16">
        <f>1440+2980</f>
        <v>4420</v>
      </c>
      <c r="Q25" s="11">
        <v>0</v>
      </c>
      <c r="R25" s="16">
        <v>14985</v>
      </c>
      <c r="S25" s="12"/>
    </row>
    <row r="26" spans="1:19" x14ac:dyDescent="0.3">
      <c r="A26" s="3">
        <v>45804</v>
      </c>
      <c r="B26" s="16">
        <v>81230</v>
      </c>
      <c r="C26" s="11">
        <f t="shared" si="0"/>
        <v>73845.454545454544</v>
      </c>
      <c r="D26" s="11">
        <f t="shared" si="1"/>
        <v>7384.545454545454</v>
      </c>
      <c r="E26" s="16">
        <v>7320</v>
      </c>
      <c r="F26" s="11">
        <f t="shared" si="2"/>
        <v>6654.545454545454</v>
      </c>
      <c r="G26" s="11">
        <f t="shared" si="3"/>
        <v>665.4545454545455</v>
      </c>
      <c r="H26" s="16">
        <v>700</v>
      </c>
      <c r="I26" s="11">
        <f t="shared" si="4"/>
        <v>583.33333333333337</v>
      </c>
      <c r="J26" s="11">
        <f t="shared" si="5"/>
        <v>116.66666666666669</v>
      </c>
      <c r="K26" s="16">
        <v>3540</v>
      </c>
      <c r="L26" s="11">
        <f t="shared" si="6"/>
        <v>2950</v>
      </c>
      <c r="M26" s="11">
        <f t="shared" si="7"/>
        <v>590</v>
      </c>
      <c r="N26" s="16">
        <v>2795</v>
      </c>
      <c r="O26" s="16">
        <f>89995-670</f>
        <v>89325</v>
      </c>
      <c r="P26" s="16">
        <v>670</v>
      </c>
      <c r="Q26" s="11">
        <v>0</v>
      </c>
      <c r="R26" s="16">
        <v>38000</v>
      </c>
      <c r="S26" s="12"/>
    </row>
    <row r="27" spans="1:19" x14ac:dyDescent="0.3">
      <c r="A27" s="3">
        <v>45805</v>
      </c>
      <c r="B27" s="16">
        <v>46017.5</v>
      </c>
      <c r="C27" s="11">
        <f t="shared" ref="C27:C29" si="16">B27/1.1</f>
        <v>41834.090909090904</v>
      </c>
      <c r="D27" s="11">
        <f t="shared" ref="D27:D29" si="17">C27*10/100</f>
        <v>4183.409090909091</v>
      </c>
      <c r="E27" s="16">
        <v>4800</v>
      </c>
      <c r="F27" s="11">
        <f t="shared" ref="F27:F28" si="18">E27/1.1</f>
        <v>4363.6363636363631</v>
      </c>
      <c r="G27" s="11">
        <f t="shared" ref="G27:G28" si="19">F27*10/100</f>
        <v>436.36363636363632</v>
      </c>
      <c r="H27" s="11">
        <v>0</v>
      </c>
      <c r="I27" s="11">
        <f t="shared" ref="I27:I28" si="20">H27/1.2</f>
        <v>0</v>
      </c>
      <c r="J27" s="11">
        <f t="shared" ref="J27:J28" si="21">I27*20/100</f>
        <v>0</v>
      </c>
      <c r="K27" s="16">
        <v>2400</v>
      </c>
      <c r="L27" s="11">
        <f t="shared" ref="L27:L28" si="22">K27/1.2</f>
        <v>2000</v>
      </c>
      <c r="M27" s="11">
        <f t="shared" ref="M27:M28" si="23">L27*20/100</f>
        <v>400</v>
      </c>
      <c r="N27" s="16">
        <v>3550</v>
      </c>
      <c r="O27" s="16">
        <f>49667.5-210</f>
        <v>49457.5</v>
      </c>
      <c r="P27" s="16">
        <v>210</v>
      </c>
      <c r="Q27" s="11">
        <v>0</v>
      </c>
      <c r="R27" s="16">
        <v>39000</v>
      </c>
      <c r="S27" s="12"/>
    </row>
    <row r="28" spans="1:19" x14ac:dyDescent="0.3">
      <c r="A28" s="3">
        <v>45806</v>
      </c>
      <c r="B28" s="16">
        <f>18050+38935</f>
        <v>56985</v>
      </c>
      <c r="C28" s="11">
        <f t="shared" si="16"/>
        <v>51804.545454545449</v>
      </c>
      <c r="D28" s="11">
        <f t="shared" si="17"/>
        <v>5180.454545454545</v>
      </c>
      <c r="E28" s="16">
        <f>1705+4375</f>
        <v>6080</v>
      </c>
      <c r="F28" s="11">
        <f t="shared" si="18"/>
        <v>5527.272727272727</v>
      </c>
      <c r="G28" s="11">
        <f t="shared" si="19"/>
        <v>552.72727272727275</v>
      </c>
      <c r="H28" s="11">
        <v>0</v>
      </c>
      <c r="I28" s="11">
        <f t="shared" si="20"/>
        <v>0</v>
      </c>
      <c r="J28" s="11">
        <f t="shared" si="21"/>
        <v>0</v>
      </c>
      <c r="K28" s="16">
        <v>2240</v>
      </c>
      <c r="L28" s="11">
        <f t="shared" si="22"/>
        <v>1866.6666666666667</v>
      </c>
      <c r="M28" s="11">
        <f t="shared" si="23"/>
        <v>373.33333333333337</v>
      </c>
      <c r="N28" s="16">
        <f>1885+6720</f>
        <v>8605</v>
      </c>
      <c r="O28" s="16">
        <f>17870+38830-2060</f>
        <v>54640</v>
      </c>
      <c r="P28" s="16">
        <v>2060</v>
      </c>
      <c r="Q28" s="11">
        <v>0</v>
      </c>
      <c r="R28" s="11">
        <v>0</v>
      </c>
      <c r="S28" s="12"/>
    </row>
    <row r="29" spans="1:19" x14ac:dyDescent="0.3">
      <c r="A29" s="3">
        <v>45807</v>
      </c>
      <c r="B29" s="16">
        <f>88428</f>
        <v>88428</v>
      </c>
      <c r="C29" s="11">
        <f t="shared" si="16"/>
        <v>80389.090909090897</v>
      </c>
      <c r="D29" s="11">
        <f t="shared" si="17"/>
        <v>8038.9090909090892</v>
      </c>
      <c r="E29" s="16">
        <v>9020</v>
      </c>
      <c r="F29" s="11">
        <f t="shared" ref="F29" si="24">E29/1.1</f>
        <v>8200</v>
      </c>
      <c r="G29" s="11">
        <f t="shared" ref="G29" si="25">F29*10/100</f>
        <v>820</v>
      </c>
      <c r="H29" s="16">
        <v>600</v>
      </c>
      <c r="I29" s="11">
        <f t="shared" ref="I29" si="26">H29/1.2</f>
        <v>500</v>
      </c>
      <c r="J29" s="11">
        <f t="shared" ref="J29" si="27">I29*20/100</f>
        <v>100</v>
      </c>
      <c r="K29" s="16">
        <v>3600</v>
      </c>
      <c r="L29" s="11">
        <f t="shared" ref="L29" si="28">K29/1.2</f>
        <v>3000</v>
      </c>
      <c r="M29" s="11">
        <f t="shared" ref="M29" si="29">L29*20/100</f>
        <v>600</v>
      </c>
      <c r="N29" s="11">
        <v>0</v>
      </c>
      <c r="O29" s="16">
        <f>101648-2205</f>
        <v>99443</v>
      </c>
      <c r="P29" s="16">
        <v>2205</v>
      </c>
      <c r="Q29" s="11">
        <v>0</v>
      </c>
      <c r="R29" s="16">
        <v>9955</v>
      </c>
      <c r="S29" s="12"/>
    </row>
    <row r="30" spans="1:19" x14ac:dyDescent="0.3">
      <c r="A30" s="3">
        <v>45808</v>
      </c>
      <c r="B30" s="16">
        <f>94898.75+65882.5</f>
        <v>160781.25</v>
      </c>
      <c r="C30" s="11">
        <f t="shared" si="0"/>
        <v>146164.77272727271</v>
      </c>
      <c r="D30" s="11">
        <f t="shared" si="1"/>
        <v>14616.47727272727</v>
      </c>
      <c r="E30" s="16">
        <f>6819.5+5760</f>
        <v>12579.5</v>
      </c>
      <c r="F30" s="11">
        <f t="shared" si="2"/>
        <v>11435.90909090909</v>
      </c>
      <c r="G30" s="11">
        <f t="shared" si="3"/>
        <v>1143.590909090909</v>
      </c>
      <c r="H30" s="16">
        <f>600</f>
        <v>600</v>
      </c>
      <c r="I30" s="11">
        <f t="shared" si="4"/>
        <v>500</v>
      </c>
      <c r="J30" s="11">
        <f t="shared" si="5"/>
        <v>100</v>
      </c>
      <c r="K30" s="16">
        <f>3360+2000</f>
        <v>5360</v>
      </c>
      <c r="L30" s="11">
        <f t="shared" si="6"/>
        <v>4466.666666666667</v>
      </c>
      <c r="M30" s="11">
        <f t="shared" si="7"/>
        <v>893.33333333333348</v>
      </c>
      <c r="N30" s="16">
        <f>7840+650</f>
        <v>8490</v>
      </c>
      <c r="O30" s="16">
        <f>97838.25+72992.5-4190</f>
        <v>166640.75</v>
      </c>
      <c r="P30" s="16">
        <v>4190</v>
      </c>
      <c r="Q30" s="11">
        <v>0</v>
      </c>
      <c r="R30" s="16">
        <f>10840+10445</f>
        <v>21285</v>
      </c>
      <c r="S30" s="12" t="s">
        <v>40</v>
      </c>
    </row>
    <row r="31" spans="1:19" ht="15.6" x14ac:dyDescent="0.3">
      <c r="B31" s="20">
        <f>SUM(B3:B30)</f>
        <v>3836486.5</v>
      </c>
      <c r="C31" s="20"/>
      <c r="D31" s="20"/>
      <c r="E31" s="20">
        <f>SUM(E3:E30)</f>
        <v>280033.5</v>
      </c>
      <c r="F31" s="20"/>
      <c r="G31" s="20"/>
      <c r="H31" s="20">
        <f>SUM(H3:H30)</f>
        <v>14210</v>
      </c>
      <c r="I31" s="20"/>
      <c r="J31" s="20"/>
      <c r="K31" s="20">
        <f>SUM(K3:K30)</f>
        <v>113995</v>
      </c>
      <c r="L31" s="20"/>
      <c r="M31" s="20"/>
      <c r="N31" s="20">
        <f>SUM(N3:N30)</f>
        <v>204112.5</v>
      </c>
      <c r="O31" s="20">
        <f>SUM(O3:O30)</f>
        <v>3969773.5</v>
      </c>
      <c r="P31" s="20">
        <f>SUM(P3:P30)</f>
        <v>70839</v>
      </c>
      <c r="Q31" s="20">
        <f>SUM(Q3:Q30)</f>
        <v>0</v>
      </c>
      <c r="R31" s="20">
        <f>SUM(R3:R30)</f>
        <v>337248</v>
      </c>
      <c r="S31" s="21"/>
    </row>
    <row r="32" spans="1:19" x14ac:dyDescent="0.3">
      <c r="R32" s="38">
        <v>256645</v>
      </c>
    </row>
    <row r="33" spans="2:18" x14ac:dyDescent="0.3"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</row>
    <row r="35" spans="2:18" x14ac:dyDescent="0.3">
      <c r="B35" s="18"/>
      <c r="E35" s="18"/>
      <c r="H35" s="18"/>
      <c r="K35" s="18"/>
      <c r="N35" s="18"/>
    </row>
  </sheetData>
  <mergeCells count="1">
    <mergeCell ref="Q1:R1"/>
  </mergeCells>
  <pageMargins left="0.7" right="0.7" top="0.75" bottom="0.75" header="0.3" footer="0.3"/>
  <pageSetup paperSize="9" scale="6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1"/>
  <sheetViews>
    <sheetView workbookViewId="0">
      <selection activeCell="H30" sqref="H30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1" max="11" width="10.109375" bestFit="1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33.8867187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65" t="s">
        <v>8</v>
      </c>
      <c r="R1" s="65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45809</v>
      </c>
      <c r="B3" s="16">
        <f>142980+89572</f>
        <v>232552</v>
      </c>
      <c r="C3" s="11">
        <f>B3/1.1</f>
        <v>211410.90909090909</v>
      </c>
      <c r="D3" s="11">
        <f>C3*10/100</f>
        <v>21141.090909090908</v>
      </c>
      <c r="E3" s="16">
        <f>15600+11445</f>
        <v>27045</v>
      </c>
      <c r="F3" s="11">
        <f>E3/1.1</f>
        <v>24586.363636363636</v>
      </c>
      <c r="G3" s="11">
        <f>F3*10/100</f>
        <v>2458.6363636363635</v>
      </c>
      <c r="H3" s="16">
        <v>400</v>
      </c>
      <c r="I3" s="11">
        <f>H3/1.2</f>
        <v>333.33333333333337</v>
      </c>
      <c r="J3" s="11">
        <f>I3*20/100</f>
        <v>66.666666666666686</v>
      </c>
      <c r="K3" s="16">
        <f>3920+320</f>
        <v>4240</v>
      </c>
      <c r="L3" s="11">
        <f>K3/1.2</f>
        <v>3533.3333333333335</v>
      </c>
      <c r="M3" s="11">
        <f>L3*20/100</f>
        <v>706.66666666666674</v>
      </c>
      <c r="N3" s="16">
        <f>18492+5215</f>
        <v>23707</v>
      </c>
      <c r="O3" s="16">
        <f>144408-3335+96122-6215</f>
        <v>230980</v>
      </c>
      <c r="P3" s="16">
        <f>3335+6215</f>
        <v>9550</v>
      </c>
      <c r="Q3" s="11">
        <v>0</v>
      </c>
      <c r="R3" s="16">
        <v>10820</v>
      </c>
      <c r="S3" s="12"/>
    </row>
    <row r="4" spans="1:19" x14ac:dyDescent="0.3">
      <c r="A4" s="3">
        <v>45811</v>
      </c>
      <c r="B4" s="16">
        <f>40705+48295</f>
        <v>89000</v>
      </c>
      <c r="C4" s="11">
        <f t="shared" ref="C4:C26" si="0">B4/1.1</f>
        <v>80909.090909090897</v>
      </c>
      <c r="D4" s="11">
        <f t="shared" ref="D4:D26" si="1">C4*10/100</f>
        <v>8090.9090909090892</v>
      </c>
      <c r="E4" s="16">
        <f>4690+4280</f>
        <v>8970</v>
      </c>
      <c r="F4" s="11">
        <f t="shared" ref="F4:F26" si="2">E4/1.1</f>
        <v>8154.545454545454</v>
      </c>
      <c r="G4" s="11">
        <f t="shared" ref="G4:G26" si="3">F4*10/100</f>
        <v>815.4545454545455</v>
      </c>
      <c r="H4" s="16">
        <v>800</v>
      </c>
      <c r="I4" s="11">
        <f t="shared" ref="I4:I26" si="4">H4/1.2</f>
        <v>666.66666666666674</v>
      </c>
      <c r="J4" s="11">
        <f t="shared" ref="J4:J26" si="5">I4*20/100</f>
        <v>133.33333333333337</v>
      </c>
      <c r="K4" s="16">
        <f>2320+800</f>
        <v>3120</v>
      </c>
      <c r="L4" s="11">
        <f t="shared" ref="L4:L26" si="6">K4/1.2</f>
        <v>2600</v>
      </c>
      <c r="M4" s="11">
        <f t="shared" ref="M4:M26" si="7">L4*20/100</f>
        <v>520</v>
      </c>
      <c r="N4" s="16">
        <f>1637+5740</f>
        <v>7377</v>
      </c>
      <c r="O4" s="16">
        <f>44998+47635</f>
        <v>92633</v>
      </c>
      <c r="P4" s="16">
        <v>1880</v>
      </c>
      <c r="Q4" s="11">
        <v>0</v>
      </c>
      <c r="R4" s="11">
        <v>0</v>
      </c>
      <c r="S4" s="12" t="s">
        <v>41</v>
      </c>
    </row>
    <row r="5" spans="1:19" x14ac:dyDescent="0.3">
      <c r="A5" s="3">
        <v>45812</v>
      </c>
      <c r="B5" s="16">
        <f>51570+29370</f>
        <v>80940</v>
      </c>
      <c r="C5" s="11">
        <f t="shared" si="0"/>
        <v>73581.818181818177</v>
      </c>
      <c r="D5" s="11">
        <f t="shared" si="1"/>
        <v>7358.181818181818</v>
      </c>
      <c r="E5" s="16">
        <f>5530+4335</f>
        <v>9865</v>
      </c>
      <c r="F5" s="11">
        <f t="shared" si="2"/>
        <v>8968.181818181818</v>
      </c>
      <c r="G5" s="11">
        <f t="shared" si="3"/>
        <v>896.81818181818176</v>
      </c>
      <c r="H5" s="16">
        <v>200</v>
      </c>
      <c r="I5" s="11">
        <f t="shared" si="4"/>
        <v>166.66666666666669</v>
      </c>
      <c r="J5" s="11">
        <f t="shared" si="5"/>
        <v>33.333333333333343</v>
      </c>
      <c r="K5" s="16">
        <f>2720+1120</f>
        <v>3840</v>
      </c>
      <c r="L5" s="11">
        <f t="shared" si="6"/>
        <v>3200</v>
      </c>
      <c r="M5" s="11">
        <f t="shared" si="7"/>
        <v>640</v>
      </c>
      <c r="N5" s="16">
        <f>4010</f>
        <v>4010</v>
      </c>
      <c r="O5" s="16">
        <f>60020+30815</f>
        <v>90835</v>
      </c>
      <c r="P5" s="11">
        <v>0</v>
      </c>
      <c r="Q5" s="11">
        <v>0</v>
      </c>
      <c r="R5" s="11">
        <v>0</v>
      </c>
      <c r="S5" s="12"/>
    </row>
    <row r="6" spans="1:19" x14ac:dyDescent="0.3">
      <c r="A6" s="3">
        <v>45815</v>
      </c>
      <c r="B6" s="16">
        <f>165915+88752.5</f>
        <v>254667.5</v>
      </c>
      <c r="C6" s="11">
        <f t="shared" si="0"/>
        <v>231515.90909090906</v>
      </c>
      <c r="D6" s="11">
        <f t="shared" si="1"/>
        <v>23151.590909090908</v>
      </c>
      <c r="E6" s="16">
        <f>1030</f>
        <v>1030</v>
      </c>
      <c r="F6" s="11">
        <f t="shared" si="2"/>
        <v>936.36363636363626</v>
      </c>
      <c r="G6" s="11">
        <f t="shared" si="3"/>
        <v>93.636363636363626</v>
      </c>
      <c r="H6" s="11">
        <v>0</v>
      </c>
      <c r="I6" s="11">
        <f t="shared" si="4"/>
        <v>0</v>
      </c>
      <c r="J6" s="11">
        <f t="shared" si="5"/>
        <v>0</v>
      </c>
      <c r="K6" s="16">
        <v>900</v>
      </c>
      <c r="L6" s="11">
        <f t="shared" si="6"/>
        <v>750</v>
      </c>
      <c r="M6" s="11">
        <f t="shared" si="7"/>
        <v>150</v>
      </c>
      <c r="N6" s="16">
        <f>18240+11117.5</f>
        <v>29357.5</v>
      </c>
      <c r="O6" s="16">
        <f>148705+78535</f>
        <v>227240</v>
      </c>
      <c r="P6" s="11">
        <v>0</v>
      </c>
      <c r="Q6" s="11">
        <v>0</v>
      </c>
      <c r="R6" s="16">
        <v>13230</v>
      </c>
      <c r="S6" s="19" t="s">
        <v>42</v>
      </c>
    </row>
    <row r="7" spans="1:19" x14ac:dyDescent="0.3">
      <c r="A7" s="3">
        <v>45816</v>
      </c>
      <c r="B7" s="16">
        <f>57080+167390</f>
        <v>224470</v>
      </c>
      <c r="C7" s="11">
        <f t="shared" si="0"/>
        <v>204063.63636363635</v>
      </c>
      <c r="D7" s="11">
        <f t="shared" si="1"/>
        <v>20406.363636363636</v>
      </c>
      <c r="E7" s="16">
        <f>8240+18980</f>
        <v>27220</v>
      </c>
      <c r="F7" s="11">
        <f t="shared" si="2"/>
        <v>24745.454545454544</v>
      </c>
      <c r="G7" s="11">
        <f t="shared" si="3"/>
        <v>2474.5454545454545</v>
      </c>
      <c r="H7" s="16">
        <v>146</v>
      </c>
      <c r="I7" s="11">
        <f t="shared" si="4"/>
        <v>121.66666666666667</v>
      </c>
      <c r="J7" s="11">
        <f t="shared" si="5"/>
        <v>24.333333333333336</v>
      </c>
      <c r="K7" s="16">
        <f>160+3520</f>
        <v>3680</v>
      </c>
      <c r="L7" s="11">
        <f t="shared" si="6"/>
        <v>3066.666666666667</v>
      </c>
      <c r="M7" s="11">
        <f t="shared" si="7"/>
        <v>613.33333333333348</v>
      </c>
      <c r="N7" s="16">
        <f>6675+9975</f>
        <v>16650</v>
      </c>
      <c r="O7" s="16">
        <f>58805+180061</f>
        <v>238866</v>
      </c>
      <c r="P7" s="11">
        <v>0</v>
      </c>
      <c r="Q7" s="11">
        <v>0</v>
      </c>
      <c r="R7" s="16">
        <v>7385</v>
      </c>
      <c r="S7" s="12" t="s">
        <v>43</v>
      </c>
    </row>
    <row r="8" spans="1:19" x14ac:dyDescent="0.3">
      <c r="A8" s="3">
        <v>45817</v>
      </c>
      <c r="B8" s="16">
        <f>91670+71901</f>
        <v>163571</v>
      </c>
      <c r="C8" s="11">
        <f t="shared" si="0"/>
        <v>148700.90909090909</v>
      </c>
      <c r="D8" s="11">
        <f t="shared" si="1"/>
        <v>14870.090909090908</v>
      </c>
      <c r="E8" s="16">
        <f>1705</f>
        <v>1705</v>
      </c>
      <c r="F8" s="11">
        <f t="shared" si="2"/>
        <v>1549.9999999999998</v>
      </c>
      <c r="G8" s="11">
        <f t="shared" si="3"/>
        <v>154.99999999999997</v>
      </c>
      <c r="H8" s="11">
        <v>0</v>
      </c>
      <c r="I8" s="11">
        <f t="shared" si="4"/>
        <v>0</v>
      </c>
      <c r="J8" s="11">
        <f t="shared" si="5"/>
        <v>0</v>
      </c>
      <c r="K8" s="11">
        <v>0</v>
      </c>
      <c r="L8" s="11">
        <f t="shared" si="6"/>
        <v>0</v>
      </c>
      <c r="M8" s="11">
        <f t="shared" si="7"/>
        <v>0</v>
      </c>
      <c r="N8" s="16">
        <f>2085+4040</f>
        <v>6125</v>
      </c>
      <c r="O8" s="16">
        <f>90395+66071</f>
        <v>156466</v>
      </c>
      <c r="P8" s="16">
        <f>895+1790</f>
        <v>2685</v>
      </c>
      <c r="Q8" s="11">
        <v>0</v>
      </c>
      <c r="R8" s="11">
        <v>0</v>
      </c>
      <c r="S8" s="12"/>
    </row>
    <row r="9" spans="1:19" x14ac:dyDescent="0.3">
      <c r="A9" s="3">
        <v>45818</v>
      </c>
      <c r="B9" s="16">
        <f>55875+14935</f>
        <v>70810</v>
      </c>
      <c r="C9" s="11">
        <f t="shared" si="0"/>
        <v>64372.727272727265</v>
      </c>
      <c r="D9" s="11">
        <f t="shared" si="1"/>
        <v>6437.272727272727</v>
      </c>
      <c r="E9" s="16">
        <f>6200+2410</f>
        <v>8610</v>
      </c>
      <c r="F9" s="11">
        <f t="shared" si="2"/>
        <v>7827.272727272727</v>
      </c>
      <c r="G9" s="11">
        <f t="shared" si="3"/>
        <v>782.72727272727263</v>
      </c>
      <c r="H9" s="16">
        <v>210</v>
      </c>
      <c r="I9" s="11">
        <f t="shared" si="4"/>
        <v>175</v>
      </c>
      <c r="J9" s="11">
        <f t="shared" si="5"/>
        <v>35</v>
      </c>
      <c r="K9" s="16">
        <f>2320+800</f>
        <v>3120</v>
      </c>
      <c r="L9" s="11">
        <f t="shared" si="6"/>
        <v>2600</v>
      </c>
      <c r="M9" s="11">
        <f t="shared" si="7"/>
        <v>520</v>
      </c>
      <c r="N9" s="16">
        <f>5185+220</f>
        <v>5405</v>
      </c>
      <c r="O9" s="16">
        <f>56455+17925</f>
        <v>74380</v>
      </c>
      <c r="P9" s="16">
        <v>2965</v>
      </c>
      <c r="Q9" s="11">
        <v>0</v>
      </c>
      <c r="R9" s="11">
        <v>0</v>
      </c>
      <c r="S9" s="12" t="s">
        <v>44</v>
      </c>
    </row>
    <row r="10" spans="1:19" x14ac:dyDescent="0.3">
      <c r="A10" s="3">
        <v>45819</v>
      </c>
      <c r="B10" s="16">
        <f>58608+50077</f>
        <v>108685</v>
      </c>
      <c r="C10" s="11">
        <f t="shared" si="0"/>
        <v>98804.545454545441</v>
      </c>
      <c r="D10" s="11">
        <f t="shared" si="1"/>
        <v>9880.4545454545441</v>
      </c>
      <c r="E10" s="16">
        <f>4250+6215</f>
        <v>10465</v>
      </c>
      <c r="F10" s="11">
        <f t="shared" si="2"/>
        <v>9513.6363636363621</v>
      </c>
      <c r="G10" s="11">
        <f t="shared" si="3"/>
        <v>951.36363636363615</v>
      </c>
      <c r="H10" s="16">
        <v>400</v>
      </c>
      <c r="I10" s="11">
        <f t="shared" si="4"/>
        <v>333.33333333333337</v>
      </c>
      <c r="J10" s="11">
        <f t="shared" si="5"/>
        <v>66.666666666666686</v>
      </c>
      <c r="K10" s="16">
        <f>560+2880</f>
        <v>3440</v>
      </c>
      <c r="L10" s="11">
        <f t="shared" si="6"/>
        <v>2866.666666666667</v>
      </c>
      <c r="M10" s="11">
        <f t="shared" si="7"/>
        <v>573.33333333333348</v>
      </c>
      <c r="N10" s="16">
        <f>7188+7525</f>
        <v>14713</v>
      </c>
      <c r="O10" s="16">
        <f>56230-4675+52047-2910</f>
        <v>100692</v>
      </c>
      <c r="P10" s="16">
        <f>4675+2910</f>
        <v>7585</v>
      </c>
      <c r="Q10" s="11">
        <v>0</v>
      </c>
      <c r="R10" s="11">
        <v>0</v>
      </c>
      <c r="S10" s="12" t="s">
        <v>45</v>
      </c>
    </row>
    <row r="11" spans="1:19" x14ac:dyDescent="0.3">
      <c r="A11" s="3">
        <v>45820</v>
      </c>
      <c r="B11" s="16">
        <f>47770+48865</f>
        <v>96635</v>
      </c>
      <c r="C11" s="11">
        <f t="shared" si="0"/>
        <v>87850</v>
      </c>
      <c r="D11" s="11">
        <f t="shared" si="1"/>
        <v>8785</v>
      </c>
      <c r="E11" s="16">
        <f>3570+5715</f>
        <v>9285</v>
      </c>
      <c r="F11" s="11">
        <f t="shared" si="2"/>
        <v>8440.9090909090901</v>
      </c>
      <c r="G11" s="11">
        <f t="shared" si="3"/>
        <v>844.09090909090901</v>
      </c>
      <c r="H11" s="16">
        <v>500</v>
      </c>
      <c r="I11" s="11">
        <f t="shared" si="4"/>
        <v>416.66666666666669</v>
      </c>
      <c r="J11" s="11">
        <f t="shared" si="5"/>
        <v>83.333333333333343</v>
      </c>
      <c r="K11" s="16">
        <f>1440+3440</f>
        <v>4880</v>
      </c>
      <c r="L11" s="11">
        <f t="shared" si="6"/>
        <v>4066.666666666667</v>
      </c>
      <c r="M11" s="11">
        <f t="shared" si="7"/>
        <v>813.33333333333348</v>
      </c>
      <c r="N11" s="16">
        <f>5501+5877</f>
        <v>11378</v>
      </c>
      <c r="O11" s="16">
        <f>42804+52643</f>
        <v>95447</v>
      </c>
      <c r="P11" s="16">
        <v>4475</v>
      </c>
      <c r="Q11" s="11">
        <v>0</v>
      </c>
      <c r="R11" s="11">
        <v>0</v>
      </c>
      <c r="S11" s="12"/>
    </row>
    <row r="12" spans="1:19" x14ac:dyDescent="0.3">
      <c r="A12" s="3">
        <v>45821</v>
      </c>
      <c r="B12" s="16">
        <f>57660+75675</f>
        <v>133335</v>
      </c>
      <c r="C12" s="11">
        <f t="shared" si="0"/>
        <v>121213.63636363635</v>
      </c>
      <c r="D12" s="11">
        <f t="shared" si="1"/>
        <v>12121.363636363636</v>
      </c>
      <c r="E12" s="16">
        <f>6715+7445</f>
        <v>14160</v>
      </c>
      <c r="F12" s="11">
        <f t="shared" si="2"/>
        <v>12872.727272727272</v>
      </c>
      <c r="G12" s="11">
        <f t="shared" si="3"/>
        <v>1287.2727272727273</v>
      </c>
      <c r="H12" s="16">
        <v>400</v>
      </c>
      <c r="I12" s="11">
        <f t="shared" si="4"/>
        <v>333.33333333333337</v>
      </c>
      <c r="J12" s="11">
        <f t="shared" si="5"/>
        <v>66.666666666666686</v>
      </c>
      <c r="K12" s="16">
        <f>2880+2480</f>
        <v>5360</v>
      </c>
      <c r="L12" s="11">
        <f t="shared" si="6"/>
        <v>4466.666666666667</v>
      </c>
      <c r="M12" s="11">
        <f t="shared" si="7"/>
        <v>893.33333333333348</v>
      </c>
      <c r="N12" s="16">
        <f>3090+6005</f>
        <v>9095</v>
      </c>
      <c r="O12" s="16">
        <f>66690+87445-16450</f>
        <v>137685</v>
      </c>
      <c r="P12" s="16">
        <f>4140+2335</f>
        <v>6475</v>
      </c>
      <c r="Q12" s="11">
        <v>0</v>
      </c>
      <c r="R12" s="16">
        <f>10185+6265</f>
        <v>16450</v>
      </c>
      <c r="S12" s="12"/>
    </row>
    <row r="13" spans="1:19" x14ac:dyDescent="0.3">
      <c r="A13" s="3">
        <v>45822</v>
      </c>
      <c r="B13" s="16">
        <f>32765+151715</f>
        <v>184480</v>
      </c>
      <c r="C13" s="11">
        <f t="shared" si="0"/>
        <v>167709.09090909088</v>
      </c>
      <c r="D13" s="11">
        <f t="shared" si="1"/>
        <v>16770.909090909088</v>
      </c>
      <c r="E13" s="16">
        <f>4275+12300</f>
        <v>16575</v>
      </c>
      <c r="F13" s="11">
        <f t="shared" si="2"/>
        <v>15068.181818181816</v>
      </c>
      <c r="G13" s="11">
        <f t="shared" si="3"/>
        <v>1506.8181818181818</v>
      </c>
      <c r="H13" s="16">
        <f>700+800</f>
        <v>1500</v>
      </c>
      <c r="I13" s="11">
        <f t="shared" si="4"/>
        <v>1250</v>
      </c>
      <c r="J13" s="11">
        <f t="shared" si="5"/>
        <v>250</v>
      </c>
      <c r="K13" s="16">
        <f>800+4160</f>
        <v>4960</v>
      </c>
      <c r="L13" s="11">
        <f t="shared" si="6"/>
        <v>4133.3333333333339</v>
      </c>
      <c r="M13" s="11">
        <f t="shared" si="7"/>
        <v>826.66666666666686</v>
      </c>
      <c r="N13" s="16">
        <f>1618+10470</f>
        <v>12088</v>
      </c>
      <c r="O13" s="16">
        <f>36922+158505</f>
        <v>195427</v>
      </c>
      <c r="P13" s="11">
        <v>0</v>
      </c>
      <c r="Q13" s="11">
        <v>0</v>
      </c>
      <c r="R13" s="16">
        <v>22810</v>
      </c>
      <c r="S13" s="12"/>
    </row>
    <row r="14" spans="1:19" x14ac:dyDescent="0.3">
      <c r="A14" s="3">
        <v>45823</v>
      </c>
      <c r="B14" s="16">
        <f>87135+159645</f>
        <v>246780</v>
      </c>
      <c r="C14" s="11">
        <f t="shared" si="0"/>
        <v>224345.45454545453</v>
      </c>
      <c r="D14" s="11">
        <f t="shared" si="1"/>
        <v>22434.545454545456</v>
      </c>
      <c r="E14" s="16">
        <f>9300+16510</f>
        <v>25810</v>
      </c>
      <c r="F14" s="11">
        <f t="shared" si="2"/>
        <v>23463.63636363636</v>
      </c>
      <c r="G14" s="11">
        <f t="shared" si="3"/>
        <v>2346.363636363636</v>
      </c>
      <c r="H14" s="16">
        <v>700</v>
      </c>
      <c r="I14" s="11">
        <f t="shared" si="4"/>
        <v>583.33333333333337</v>
      </c>
      <c r="J14" s="11">
        <f t="shared" si="5"/>
        <v>116.66666666666669</v>
      </c>
      <c r="K14" s="16">
        <f>1920+2960</f>
        <v>4880</v>
      </c>
      <c r="L14" s="11">
        <f t="shared" si="6"/>
        <v>4066.666666666667</v>
      </c>
      <c r="M14" s="11">
        <f t="shared" si="7"/>
        <v>813.33333333333348</v>
      </c>
      <c r="N14" s="16">
        <f>195+1982</f>
        <v>2177</v>
      </c>
      <c r="O14" s="16">
        <f>92415+184893-13455</f>
        <v>263853</v>
      </c>
      <c r="P14" s="16">
        <f>6395+5745</f>
        <v>12140</v>
      </c>
      <c r="Q14" s="11">
        <v>0</v>
      </c>
      <c r="R14" s="16">
        <v>13455</v>
      </c>
      <c r="S14" s="12"/>
    </row>
    <row r="15" spans="1:19" x14ac:dyDescent="0.3">
      <c r="A15" s="3">
        <v>45825</v>
      </c>
      <c r="B15" s="16">
        <f>38661.25+37785</f>
        <v>76446.25</v>
      </c>
      <c r="C15" s="11">
        <f t="shared" si="0"/>
        <v>69496.590909090897</v>
      </c>
      <c r="D15" s="11">
        <f t="shared" si="1"/>
        <v>6949.6590909090892</v>
      </c>
      <c r="E15" s="16">
        <f>5212.5+2870</f>
        <v>8082.5</v>
      </c>
      <c r="F15" s="11">
        <f t="shared" si="2"/>
        <v>7347.7272727272721</v>
      </c>
      <c r="G15" s="11">
        <f t="shared" si="3"/>
        <v>734.77272727272725</v>
      </c>
      <c r="H15" s="16">
        <f>925+600</f>
        <v>1525</v>
      </c>
      <c r="I15" s="11">
        <f t="shared" si="4"/>
        <v>1270.8333333333335</v>
      </c>
      <c r="J15" s="11">
        <f t="shared" si="5"/>
        <v>254.16666666666671</v>
      </c>
      <c r="K15" s="16">
        <f>2820+1680</f>
        <v>4500</v>
      </c>
      <c r="L15" s="11">
        <f t="shared" si="6"/>
        <v>3750</v>
      </c>
      <c r="M15" s="11">
        <f t="shared" si="7"/>
        <v>750</v>
      </c>
      <c r="N15" s="16">
        <f>1000+4550</f>
        <v>5550</v>
      </c>
      <c r="O15" s="16">
        <f>46618.75+38385</f>
        <v>85003.75</v>
      </c>
      <c r="P15" s="11">
        <v>0</v>
      </c>
      <c r="Q15" s="11">
        <v>0</v>
      </c>
      <c r="R15" s="16">
        <v>15230</v>
      </c>
      <c r="S15" s="12"/>
    </row>
    <row r="16" spans="1:19" x14ac:dyDescent="0.3">
      <c r="A16" s="3">
        <v>45826</v>
      </c>
      <c r="B16" s="16">
        <f>23045+38760</f>
        <v>61805</v>
      </c>
      <c r="C16" s="11">
        <f t="shared" si="0"/>
        <v>56186.363636363632</v>
      </c>
      <c r="D16" s="11">
        <f t="shared" si="1"/>
        <v>5618.636363636364</v>
      </c>
      <c r="E16" s="16">
        <f>1322.5+4380</f>
        <v>5702.5</v>
      </c>
      <c r="F16" s="11">
        <f t="shared" si="2"/>
        <v>5184.090909090909</v>
      </c>
      <c r="G16" s="11">
        <f t="shared" si="3"/>
        <v>518.40909090909088</v>
      </c>
      <c r="H16" s="11">
        <f>0</f>
        <v>0</v>
      </c>
      <c r="I16" s="11">
        <f t="shared" si="4"/>
        <v>0</v>
      </c>
      <c r="J16" s="11">
        <f t="shared" si="5"/>
        <v>0</v>
      </c>
      <c r="K16" s="16">
        <f>1600+1360</f>
        <v>2960</v>
      </c>
      <c r="L16" s="11">
        <f t="shared" si="6"/>
        <v>2466.666666666667</v>
      </c>
      <c r="M16" s="11">
        <f t="shared" si="7"/>
        <v>493.33333333333343</v>
      </c>
      <c r="N16" s="16">
        <f>3482.5+1985</f>
        <v>5467.5</v>
      </c>
      <c r="O16" s="16">
        <f>22485+42515</f>
        <v>65000</v>
      </c>
      <c r="P16" s="11">
        <v>0</v>
      </c>
      <c r="Q16" s="16">
        <v>1268</v>
      </c>
      <c r="R16" s="16">
        <f>7440+12747</f>
        <v>20187</v>
      </c>
      <c r="S16" s="12" t="s">
        <v>46</v>
      </c>
    </row>
    <row r="17" spans="1:19" x14ac:dyDescent="0.3">
      <c r="A17" s="3">
        <v>45827</v>
      </c>
      <c r="B17" s="16">
        <f>53775+60660</f>
        <v>114435</v>
      </c>
      <c r="C17" s="11">
        <f t="shared" si="0"/>
        <v>104031.81818181818</v>
      </c>
      <c r="D17" s="11">
        <f t="shared" si="1"/>
        <v>10403.181818181818</v>
      </c>
      <c r="E17" s="16">
        <f>6270+6240</f>
        <v>12510</v>
      </c>
      <c r="F17" s="11">
        <f t="shared" si="2"/>
        <v>11372.727272727272</v>
      </c>
      <c r="G17" s="11">
        <f t="shared" si="3"/>
        <v>1137.2727272727273</v>
      </c>
      <c r="H17" s="16">
        <f>600+2100</f>
        <v>2700</v>
      </c>
      <c r="I17" s="11">
        <f t="shared" si="4"/>
        <v>2250</v>
      </c>
      <c r="J17" s="11">
        <f t="shared" si="5"/>
        <v>450</v>
      </c>
      <c r="K17" s="16">
        <f>3680+2400</f>
        <v>6080</v>
      </c>
      <c r="L17" s="11">
        <f t="shared" si="6"/>
        <v>5066.666666666667</v>
      </c>
      <c r="M17" s="11">
        <f t="shared" si="7"/>
        <v>1013.3333333333335</v>
      </c>
      <c r="N17" s="16">
        <v>1515</v>
      </c>
      <c r="O17" s="16">
        <f>61485+69885</f>
        <v>131370</v>
      </c>
      <c r="P17" s="16">
        <v>2840</v>
      </c>
      <c r="Q17" s="11">
        <v>0</v>
      </c>
      <c r="R17" s="11">
        <v>0</v>
      </c>
      <c r="S17" s="12"/>
    </row>
    <row r="18" spans="1:19" x14ac:dyDescent="0.3">
      <c r="A18" s="3">
        <v>45828</v>
      </c>
      <c r="B18" s="16">
        <f>54240+46375</f>
        <v>100615</v>
      </c>
      <c r="C18" s="11">
        <f t="shared" si="0"/>
        <v>91468.181818181809</v>
      </c>
      <c r="D18" s="11">
        <f t="shared" si="1"/>
        <v>9146.818181818182</v>
      </c>
      <c r="E18" s="16">
        <f>6505+6510</f>
        <v>13015</v>
      </c>
      <c r="F18" s="11">
        <f t="shared" si="2"/>
        <v>11831.81818181818</v>
      </c>
      <c r="G18" s="11">
        <f t="shared" si="3"/>
        <v>1183.181818181818</v>
      </c>
      <c r="H18" s="16">
        <f>500+245</f>
        <v>745</v>
      </c>
      <c r="I18" s="11">
        <f t="shared" si="4"/>
        <v>620.83333333333337</v>
      </c>
      <c r="J18" s="11">
        <f t="shared" si="5"/>
        <v>124.16666666666669</v>
      </c>
      <c r="K18" s="16">
        <f>240+2960</f>
        <v>3200</v>
      </c>
      <c r="L18" s="11">
        <f t="shared" si="6"/>
        <v>2666.666666666667</v>
      </c>
      <c r="M18" s="11">
        <f t="shared" si="7"/>
        <v>533.33333333333348</v>
      </c>
      <c r="N18" s="16">
        <f>8875+1170</f>
        <v>10045</v>
      </c>
      <c r="O18" s="16">
        <f>52610+54920</f>
        <v>107530</v>
      </c>
      <c r="P18" s="11">
        <v>0</v>
      </c>
      <c r="Q18" s="11">
        <v>0</v>
      </c>
      <c r="R18" s="16">
        <v>10100</v>
      </c>
      <c r="S18" s="12"/>
    </row>
    <row r="19" spans="1:19" x14ac:dyDescent="0.3">
      <c r="A19" s="3">
        <v>45829</v>
      </c>
      <c r="B19" s="16">
        <f>52580+85755</f>
        <v>138335</v>
      </c>
      <c r="C19" s="11">
        <f t="shared" si="0"/>
        <v>125759.0909090909</v>
      </c>
      <c r="D19" s="11">
        <f t="shared" si="1"/>
        <v>12575.90909090909</v>
      </c>
      <c r="E19" s="16">
        <f>6005+9540</f>
        <v>15545</v>
      </c>
      <c r="F19" s="11">
        <f t="shared" si="2"/>
        <v>14131.81818181818</v>
      </c>
      <c r="G19" s="11">
        <f t="shared" si="3"/>
        <v>1413.181818181818</v>
      </c>
      <c r="H19" s="11">
        <v>0</v>
      </c>
      <c r="I19" s="11">
        <f t="shared" si="4"/>
        <v>0</v>
      </c>
      <c r="J19" s="11">
        <f t="shared" si="5"/>
        <v>0</v>
      </c>
      <c r="K19" s="16">
        <f>480+2240</f>
        <v>2720</v>
      </c>
      <c r="L19" s="11">
        <f t="shared" si="6"/>
        <v>2266.666666666667</v>
      </c>
      <c r="M19" s="11">
        <f t="shared" si="7"/>
        <v>453.33333333333343</v>
      </c>
      <c r="N19" s="16">
        <f>7220+18200</f>
        <v>25420</v>
      </c>
      <c r="O19" s="16">
        <f>51845+79335-2060</f>
        <v>129120</v>
      </c>
      <c r="P19" s="16">
        <v>2060</v>
      </c>
      <c r="Q19" s="11">
        <v>0</v>
      </c>
      <c r="R19" s="16">
        <v>30725</v>
      </c>
      <c r="S19" s="12"/>
    </row>
    <row r="20" spans="1:19" x14ac:dyDescent="0.3">
      <c r="A20" s="3">
        <v>45830</v>
      </c>
      <c r="B20" s="16">
        <f>105035+166350</f>
        <v>271385</v>
      </c>
      <c r="C20" s="11">
        <f t="shared" si="0"/>
        <v>246713.63636363635</v>
      </c>
      <c r="D20" s="11">
        <f t="shared" si="1"/>
        <v>24671.363636363632</v>
      </c>
      <c r="E20" s="16">
        <f>12075+16070</f>
        <v>28145</v>
      </c>
      <c r="F20" s="11">
        <f t="shared" si="2"/>
        <v>25586.363636363636</v>
      </c>
      <c r="G20" s="11">
        <f t="shared" si="3"/>
        <v>2558.6363636363635</v>
      </c>
      <c r="H20" s="11">
        <v>0</v>
      </c>
      <c r="I20" s="11">
        <f t="shared" si="4"/>
        <v>0</v>
      </c>
      <c r="J20" s="11">
        <f t="shared" si="5"/>
        <v>0</v>
      </c>
      <c r="K20" s="16">
        <f>2480+3520</f>
        <v>6000</v>
      </c>
      <c r="L20" s="11">
        <f t="shared" si="6"/>
        <v>5000</v>
      </c>
      <c r="M20" s="11">
        <f t="shared" si="7"/>
        <v>1000</v>
      </c>
      <c r="N20" s="16">
        <f>6080+19235</f>
        <v>25315</v>
      </c>
      <c r="O20" s="16">
        <f>110430+158982.5</f>
        <v>269412.5</v>
      </c>
      <c r="P20" s="16">
        <f>7722.5+3080</f>
        <v>10802.5</v>
      </c>
      <c r="Q20" s="11">
        <v>0</v>
      </c>
      <c r="R20" s="11">
        <v>0</v>
      </c>
      <c r="S20" s="12"/>
    </row>
    <row r="21" spans="1:19" x14ac:dyDescent="0.3">
      <c r="A21" s="3">
        <v>45832</v>
      </c>
      <c r="B21" s="16">
        <f>34655+30430</f>
        <v>65085</v>
      </c>
      <c r="C21" s="11">
        <f t="shared" si="0"/>
        <v>59168.181818181816</v>
      </c>
      <c r="D21" s="11">
        <f t="shared" si="1"/>
        <v>5916.8181818181811</v>
      </c>
      <c r="E21" s="16">
        <f>4160+3785</f>
        <v>7945</v>
      </c>
      <c r="F21" s="11">
        <f t="shared" si="2"/>
        <v>7222.7272727272721</v>
      </c>
      <c r="G21" s="11">
        <f t="shared" si="3"/>
        <v>722.27272727272725</v>
      </c>
      <c r="H21" s="16">
        <v>390</v>
      </c>
      <c r="I21" s="11">
        <f t="shared" si="4"/>
        <v>325</v>
      </c>
      <c r="J21" s="11">
        <f t="shared" si="5"/>
        <v>65</v>
      </c>
      <c r="K21" s="16">
        <f>2160+400</f>
        <v>2560</v>
      </c>
      <c r="L21" s="11">
        <f t="shared" si="6"/>
        <v>2133.3333333333335</v>
      </c>
      <c r="M21" s="11">
        <f t="shared" si="7"/>
        <v>426.66666666666674</v>
      </c>
      <c r="N21" s="16">
        <f>7610</f>
        <v>7610</v>
      </c>
      <c r="O21" s="16">
        <f>33365+35005</f>
        <v>68370</v>
      </c>
      <c r="P21" s="11">
        <v>0</v>
      </c>
      <c r="Q21" s="11">
        <v>0</v>
      </c>
      <c r="R21" s="16">
        <v>3845</v>
      </c>
      <c r="S21" s="12"/>
    </row>
    <row r="22" spans="1:19" x14ac:dyDescent="0.3">
      <c r="A22" s="3">
        <v>45833</v>
      </c>
      <c r="B22" s="16">
        <f>64440</f>
        <v>64440</v>
      </c>
      <c r="C22" s="11">
        <f t="shared" si="0"/>
        <v>58581.818181818177</v>
      </c>
      <c r="D22" s="11">
        <f t="shared" si="1"/>
        <v>5858.181818181818</v>
      </c>
      <c r="E22" s="16">
        <v>6955</v>
      </c>
      <c r="F22" s="11">
        <f t="shared" si="2"/>
        <v>6322.7272727272721</v>
      </c>
      <c r="G22" s="11">
        <f t="shared" si="3"/>
        <v>632.27272727272725</v>
      </c>
      <c r="H22" s="11">
        <v>0</v>
      </c>
      <c r="I22" s="11">
        <f t="shared" si="4"/>
        <v>0</v>
      </c>
      <c r="J22" s="11">
        <f t="shared" si="5"/>
        <v>0</v>
      </c>
      <c r="K22" s="16">
        <v>2320</v>
      </c>
      <c r="L22" s="11">
        <f t="shared" si="6"/>
        <v>1933.3333333333335</v>
      </c>
      <c r="M22" s="11">
        <f t="shared" si="7"/>
        <v>386.66666666666674</v>
      </c>
      <c r="N22" s="16">
        <v>6935</v>
      </c>
      <c r="O22" s="16">
        <v>66780</v>
      </c>
      <c r="P22" s="11">
        <v>0</v>
      </c>
      <c r="Q22" s="11">
        <v>0</v>
      </c>
      <c r="R22" s="11">
        <v>0</v>
      </c>
      <c r="S22" s="12"/>
    </row>
    <row r="23" spans="1:19" x14ac:dyDescent="0.3">
      <c r="A23" s="3">
        <v>45834</v>
      </c>
      <c r="B23" s="16">
        <f>30500+66990</f>
        <v>97490</v>
      </c>
      <c r="C23" s="11">
        <f t="shared" si="0"/>
        <v>88627.272727272721</v>
      </c>
      <c r="D23" s="11">
        <f t="shared" si="1"/>
        <v>8862.7272727272721</v>
      </c>
      <c r="E23" s="16">
        <f>4895+8455</f>
        <v>13350</v>
      </c>
      <c r="F23" s="11">
        <f t="shared" si="2"/>
        <v>12136.363636363636</v>
      </c>
      <c r="G23" s="11">
        <f t="shared" si="3"/>
        <v>1213.6363636363635</v>
      </c>
      <c r="H23" s="16">
        <v>1200</v>
      </c>
      <c r="I23" s="11">
        <f t="shared" si="4"/>
        <v>1000</v>
      </c>
      <c r="J23" s="11">
        <f t="shared" si="5"/>
        <v>200</v>
      </c>
      <c r="K23" s="16">
        <f>160+3760</f>
        <v>3920</v>
      </c>
      <c r="L23" s="11">
        <f t="shared" si="6"/>
        <v>3266.666666666667</v>
      </c>
      <c r="M23" s="11">
        <f t="shared" si="7"/>
        <v>653.33333333333348</v>
      </c>
      <c r="N23" s="16">
        <f>4055+7495</f>
        <v>11550</v>
      </c>
      <c r="O23" s="16">
        <f>31500+72910</f>
        <v>104410</v>
      </c>
      <c r="P23" s="11">
        <v>0</v>
      </c>
      <c r="Q23" s="11">
        <v>0</v>
      </c>
      <c r="R23" s="16">
        <v>950</v>
      </c>
      <c r="S23" s="12"/>
    </row>
    <row r="24" spans="1:19" x14ac:dyDescent="0.3">
      <c r="A24" s="3">
        <v>45835</v>
      </c>
      <c r="B24" s="16">
        <f>33690+41355</f>
        <v>75045</v>
      </c>
      <c r="C24" s="11">
        <f t="shared" si="0"/>
        <v>68222.727272727265</v>
      </c>
      <c r="D24" s="11">
        <f t="shared" si="1"/>
        <v>6822.272727272727</v>
      </c>
      <c r="E24" s="16">
        <f>5225+3815</f>
        <v>9040</v>
      </c>
      <c r="F24" s="11">
        <f t="shared" si="2"/>
        <v>8218.181818181818</v>
      </c>
      <c r="G24" s="11">
        <f t="shared" si="3"/>
        <v>821.81818181818176</v>
      </c>
      <c r="H24" s="11">
        <v>0</v>
      </c>
      <c r="I24" s="11">
        <f t="shared" si="4"/>
        <v>0</v>
      </c>
      <c r="J24" s="11">
        <f t="shared" si="5"/>
        <v>0</v>
      </c>
      <c r="K24" s="16">
        <f>2000+880</f>
        <v>2880</v>
      </c>
      <c r="L24" s="11">
        <f t="shared" si="6"/>
        <v>2400</v>
      </c>
      <c r="M24" s="11">
        <f t="shared" si="7"/>
        <v>480</v>
      </c>
      <c r="N24" s="16">
        <f>485+4000</f>
        <v>4485</v>
      </c>
      <c r="O24" s="16">
        <f>40430+42050</f>
        <v>82480</v>
      </c>
      <c r="P24" s="11">
        <v>0</v>
      </c>
      <c r="Q24" s="11">
        <v>0</v>
      </c>
      <c r="R24" s="11">
        <v>0</v>
      </c>
      <c r="S24" s="12"/>
    </row>
    <row r="25" spans="1:19" x14ac:dyDescent="0.3">
      <c r="A25" s="3">
        <v>45836</v>
      </c>
      <c r="B25" s="16">
        <f>52105+72235</f>
        <v>124340</v>
      </c>
      <c r="C25" s="11">
        <f t="shared" si="0"/>
        <v>113036.36363636363</v>
      </c>
      <c r="D25" s="11">
        <f t="shared" si="1"/>
        <v>11303.636363636362</v>
      </c>
      <c r="E25" s="16">
        <f>10070+9915</f>
        <v>19985</v>
      </c>
      <c r="F25" s="11">
        <f t="shared" si="2"/>
        <v>18168.181818181816</v>
      </c>
      <c r="G25" s="11">
        <f t="shared" si="3"/>
        <v>1816.8181818181818</v>
      </c>
      <c r="H25" s="16">
        <f>1000+200</f>
        <v>1200</v>
      </c>
      <c r="I25" s="11">
        <f t="shared" si="4"/>
        <v>1000</v>
      </c>
      <c r="J25" s="11">
        <f t="shared" si="5"/>
        <v>200</v>
      </c>
      <c r="K25" s="16">
        <f>2000+2000</f>
        <v>4000</v>
      </c>
      <c r="L25" s="11">
        <f t="shared" si="6"/>
        <v>3333.3333333333335</v>
      </c>
      <c r="M25" s="11">
        <f t="shared" si="7"/>
        <v>666.66666666666674</v>
      </c>
      <c r="N25" s="16">
        <f>410+1790</f>
        <v>2200</v>
      </c>
      <c r="O25" s="16">
        <f>64765+82560-6345</f>
        <v>140980</v>
      </c>
      <c r="P25" s="16">
        <v>6345</v>
      </c>
      <c r="Q25" s="11">
        <v>0</v>
      </c>
      <c r="R25" s="16">
        <f>3735+10045+18235</f>
        <v>32015</v>
      </c>
      <c r="S25" s="12" t="s">
        <v>47</v>
      </c>
    </row>
    <row r="26" spans="1:19" x14ac:dyDescent="0.3">
      <c r="A26" s="3">
        <v>45837</v>
      </c>
      <c r="B26" s="16">
        <f>111851+86009</f>
        <v>197860</v>
      </c>
      <c r="C26" s="11">
        <f t="shared" si="0"/>
        <v>179872.72727272726</v>
      </c>
      <c r="D26" s="11">
        <f t="shared" si="1"/>
        <v>17987.272727272728</v>
      </c>
      <c r="E26" s="16">
        <f>13895+11460</f>
        <v>25355</v>
      </c>
      <c r="F26" s="11">
        <f t="shared" si="2"/>
        <v>23049.999999999996</v>
      </c>
      <c r="G26" s="11">
        <f t="shared" si="3"/>
        <v>2304.9999999999995</v>
      </c>
      <c r="H26" s="16">
        <v>600</v>
      </c>
      <c r="I26" s="11">
        <f t="shared" si="4"/>
        <v>500</v>
      </c>
      <c r="J26" s="11">
        <f t="shared" si="5"/>
        <v>100</v>
      </c>
      <c r="K26" s="16">
        <f>1440+2640</f>
        <v>4080</v>
      </c>
      <c r="L26" s="11">
        <f t="shared" si="6"/>
        <v>3400</v>
      </c>
      <c r="M26" s="11">
        <f t="shared" si="7"/>
        <v>680</v>
      </c>
      <c r="N26" s="16">
        <f>7427+2319</f>
        <v>9746</v>
      </c>
      <c r="O26" s="16">
        <f>120359-3376+97790</f>
        <v>214773</v>
      </c>
      <c r="P26" s="16">
        <v>3376</v>
      </c>
      <c r="Q26" s="11">
        <v>0</v>
      </c>
      <c r="R26" s="16">
        <f>10095+4475</f>
        <v>14570</v>
      </c>
      <c r="S26" s="12" t="s">
        <v>48</v>
      </c>
    </row>
    <row r="27" spans="1:19" ht="15.6" x14ac:dyDescent="0.3">
      <c r="B27" s="20">
        <f>SUM(B3:B26)</f>
        <v>3273206.75</v>
      </c>
      <c r="C27" s="20"/>
      <c r="D27" s="20"/>
      <c r="E27" s="20">
        <f>SUM(E3:E26)</f>
        <v>326370</v>
      </c>
      <c r="F27" s="20"/>
      <c r="G27" s="20"/>
      <c r="H27" s="20">
        <f>SUM(H3:H26)</f>
        <v>13616</v>
      </c>
      <c r="I27" s="20"/>
      <c r="J27" s="20"/>
      <c r="K27" s="20">
        <f>SUM(K3:K26)</f>
        <v>87640</v>
      </c>
      <c r="L27" s="20"/>
      <c r="M27" s="20"/>
      <c r="N27" s="20">
        <f>SUM(N3:N26)</f>
        <v>257921</v>
      </c>
      <c r="O27" s="20">
        <f>SUM(O3:O26)</f>
        <v>3369733.25</v>
      </c>
      <c r="P27" s="20">
        <f>SUM(P3:P26)</f>
        <v>73178.5</v>
      </c>
      <c r="Q27" s="20">
        <f>SUM(Q3:Q26)</f>
        <v>1268</v>
      </c>
      <c r="R27" s="20">
        <f>SUM(R3:R26)</f>
        <v>211772</v>
      </c>
      <c r="S27" s="21"/>
    </row>
    <row r="29" spans="1:19" s="4" customFormat="1" x14ac:dyDescent="0.3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</row>
    <row r="31" spans="1:19" s="4" customFormat="1" x14ac:dyDescent="0.3">
      <c r="B31" s="18"/>
      <c r="C31"/>
      <c r="D31"/>
      <c r="E31" s="18"/>
      <c r="F31"/>
      <c r="G31"/>
      <c r="H31" s="18"/>
      <c r="I31"/>
      <c r="J31"/>
      <c r="K31" s="18"/>
      <c r="L31"/>
      <c r="M31"/>
      <c r="N31" s="18"/>
      <c r="O31"/>
      <c r="P31"/>
      <c r="Q31"/>
      <c r="R31"/>
    </row>
  </sheetData>
  <mergeCells count="1">
    <mergeCell ref="Q1:R1"/>
  </mergeCells>
  <pageMargins left="0.7" right="0.7" top="0.75" bottom="0.75" header="0.3" footer="0.3"/>
  <pageSetup paperSize="9" scale="6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workbookViewId="0">
      <selection activeCell="G25" sqref="G25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1" max="11" width="10.109375" bestFit="1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18.4414062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65" t="s">
        <v>8</v>
      </c>
      <c r="R1" s="65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45839</v>
      </c>
      <c r="B3" s="16">
        <f>52040+74215</f>
        <v>126255</v>
      </c>
      <c r="C3" s="11">
        <f>B3/1.1</f>
        <v>114777.27272727272</v>
      </c>
      <c r="D3" s="11">
        <f>C3*10/100</f>
        <v>11477.727272727272</v>
      </c>
      <c r="E3" s="16">
        <f>1275+6335</f>
        <v>7610</v>
      </c>
      <c r="F3" s="11">
        <f>E3/1.1</f>
        <v>6918.181818181818</v>
      </c>
      <c r="G3" s="11">
        <f>F3*10/100</f>
        <v>691.81818181818176</v>
      </c>
      <c r="H3" s="16">
        <v>2535</v>
      </c>
      <c r="I3" s="11">
        <f>H3/1.2</f>
        <v>2112.5</v>
      </c>
      <c r="J3" s="11">
        <f>I3*20/100</f>
        <v>422.5</v>
      </c>
      <c r="K3" s="16">
        <f>800+3360</f>
        <v>4160</v>
      </c>
      <c r="L3" s="11">
        <f>K3/1.2</f>
        <v>3466.666666666667</v>
      </c>
      <c r="M3" s="11">
        <f>L3*20/100</f>
        <v>693.33333333333348</v>
      </c>
      <c r="N3" s="16">
        <f>3400+910</f>
        <v>4310</v>
      </c>
      <c r="O3" s="16">
        <f>53250+83000</f>
        <v>136250</v>
      </c>
      <c r="P3" s="11">
        <v>0</v>
      </c>
      <c r="Q3" s="11">
        <v>0</v>
      </c>
      <c r="R3" s="11">
        <v>0</v>
      </c>
      <c r="S3" s="12"/>
    </row>
    <row r="4" spans="1:19" x14ac:dyDescent="0.3">
      <c r="A4" s="3">
        <v>45840</v>
      </c>
      <c r="B4" s="16">
        <f>54490+30165</f>
        <v>84655</v>
      </c>
      <c r="C4" s="11">
        <f t="shared" ref="C4:C22" si="0">B4/1.1</f>
        <v>76959.090909090897</v>
      </c>
      <c r="D4" s="11">
        <f t="shared" ref="D4:D22" si="1">C4*10/100</f>
        <v>7695.9090909090892</v>
      </c>
      <c r="E4" s="16">
        <f>7375+2645</f>
        <v>10020</v>
      </c>
      <c r="F4" s="11">
        <f t="shared" ref="F4:F22" si="2">E4/1.1</f>
        <v>9109.0909090909081</v>
      </c>
      <c r="G4" s="11">
        <f t="shared" ref="G4:G22" si="3">F4*10/100</f>
        <v>910.90909090909088</v>
      </c>
      <c r="H4" s="11">
        <v>0</v>
      </c>
      <c r="I4" s="11">
        <f t="shared" ref="I4:I22" si="4">H4/1.2</f>
        <v>0</v>
      </c>
      <c r="J4" s="11">
        <f t="shared" ref="J4:J22" si="5">I4*20/100</f>
        <v>0</v>
      </c>
      <c r="K4" s="16">
        <v>3120</v>
      </c>
      <c r="L4" s="11">
        <f t="shared" ref="L4:L22" si="6">K4/1.2</f>
        <v>2600</v>
      </c>
      <c r="M4" s="11">
        <f t="shared" ref="M4:M22" si="7">L4*20/100</f>
        <v>520</v>
      </c>
      <c r="N4" s="16">
        <f>7350</f>
        <v>7350</v>
      </c>
      <c r="O4" s="16">
        <f>57635+32810</f>
        <v>90445</v>
      </c>
      <c r="P4" s="11">
        <v>0</v>
      </c>
      <c r="Q4" s="11">
        <v>0</v>
      </c>
      <c r="R4" s="11">
        <v>0</v>
      </c>
      <c r="S4" s="12"/>
    </row>
    <row r="5" spans="1:19" ht="28.8" x14ac:dyDescent="0.3">
      <c r="A5" s="3">
        <v>45841</v>
      </c>
      <c r="B5" s="16">
        <f>15165+91690</f>
        <v>106855</v>
      </c>
      <c r="C5" s="11">
        <f t="shared" si="0"/>
        <v>97140.909090909088</v>
      </c>
      <c r="D5" s="11">
        <f t="shared" si="1"/>
        <v>9714.0909090909081</v>
      </c>
      <c r="E5" s="16">
        <f>1425+7780</f>
        <v>9205</v>
      </c>
      <c r="F5" s="11">
        <f t="shared" si="2"/>
        <v>8368.181818181818</v>
      </c>
      <c r="G5" s="11">
        <f t="shared" si="3"/>
        <v>836.81818181818176</v>
      </c>
      <c r="H5" s="16">
        <v>700</v>
      </c>
      <c r="I5" s="11">
        <f t="shared" si="4"/>
        <v>583.33333333333337</v>
      </c>
      <c r="J5" s="11">
        <f t="shared" si="5"/>
        <v>116.66666666666669</v>
      </c>
      <c r="K5" s="16">
        <f>1440+4800</f>
        <v>6240</v>
      </c>
      <c r="L5" s="11">
        <f t="shared" si="6"/>
        <v>5200</v>
      </c>
      <c r="M5" s="11">
        <f t="shared" si="7"/>
        <v>1040</v>
      </c>
      <c r="N5" s="16">
        <f>4790</f>
        <v>4790</v>
      </c>
      <c r="O5" s="16">
        <f>18030+99075</f>
        <v>117105</v>
      </c>
      <c r="P5" s="16">
        <v>1105</v>
      </c>
      <c r="Q5" s="11">
        <v>0</v>
      </c>
      <c r="R5" s="11">
        <v>0</v>
      </c>
      <c r="S5" s="19" t="s">
        <v>49</v>
      </c>
    </row>
    <row r="6" spans="1:19" ht="28.8" x14ac:dyDescent="0.3">
      <c r="A6" s="3">
        <v>45842</v>
      </c>
      <c r="B6" s="16">
        <f>42300+47265</f>
        <v>89565</v>
      </c>
      <c r="C6" s="11">
        <f t="shared" si="0"/>
        <v>81422.727272727265</v>
      </c>
      <c r="D6" s="11">
        <f t="shared" si="1"/>
        <v>8142.272727272727</v>
      </c>
      <c r="E6" s="16">
        <f>2800+4805</f>
        <v>7605</v>
      </c>
      <c r="F6" s="11">
        <f t="shared" si="2"/>
        <v>6913.6363636363631</v>
      </c>
      <c r="G6" s="11">
        <f t="shared" si="3"/>
        <v>691.36363636363637</v>
      </c>
      <c r="H6" s="16">
        <v>500</v>
      </c>
      <c r="I6" s="11">
        <f t="shared" si="4"/>
        <v>416.66666666666669</v>
      </c>
      <c r="J6" s="11">
        <f t="shared" si="5"/>
        <v>83.333333333333343</v>
      </c>
      <c r="K6" s="16">
        <f>1800+4320</f>
        <v>6120</v>
      </c>
      <c r="L6" s="11">
        <f t="shared" si="6"/>
        <v>5100</v>
      </c>
      <c r="M6" s="11">
        <f t="shared" si="7"/>
        <v>1020</v>
      </c>
      <c r="N6" s="16">
        <f>2580+2000</f>
        <v>4580</v>
      </c>
      <c r="O6" s="16">
        <f>44820+54390-735</f>
        <v>98475</v>
      </c>
      <c r="P6" s="16">
        <v>735</v>
      </c>
      <c r="Q6" s="11">
        <v>0</v>
      </c>
      <c r="R6" s="16">
        <v>10155</v>
      </c>
      <c r="S6" s="19" t="s">
        <v>50</v>
      </c>
    </row>
    <row r="7" spans="1:19" x14ac:dyDescent="0.3">
      <c r="A7" s="3">
        <v>45843</v>
      </c>
      <c r="B7" s="16">
        <f>164050+36780</f>
        <v>200830</v>
      </c>
      <c r="C7" s="11">
        <f t="shared" si="0"/>
        <v>182572.72727272726</v>
      </c>
      <c r="D7" s="11">
        <f t="shared" si="1"/>
        <v>18257.272727272728</v>
      </c>
      <c r="E7" s="16">
        <f>15115+3425</f>
        <v>18540</v>
      </c>
      <c r="F7" s="11">
        <f t="shared" si="2"/>
        <v>16854.545454545452</v>
      </c>
      <c r="G7" s="11">
        <f t="shared" si="3"/>
        <v>1685.4545454545453</v>
      </c>
      <c r="H7" s="16">
        <f>400+310</f>
        <v>710</v>
      </c>
      <c r="I7" s="11">
        <f t="shared" si="4"/>
        <v>591.66666666666674</v>
      </c>
      <c r="J7" s="11">
        <f t="shared" si="5"/>
        <v>118.33333333333336</v>
      </c>
      <c r="K7" s="16">
        <f>7920+720</f>
        <v>8640</v>
      </c>
      <c r="L7" s="11">
        <f t="shared" si="6"/>
        <v>7200</v>
      </c>
      <c r="M7" s="11">
        <f t="shared" si="7"/>
        <v>1440</v>
      </c>
      <c r="N7" s="16">
        <f>9155</f>
        <v>9155</v>
      </c>
      <c r="O7" s="16">
        <f>178330+41235</f>
        <v>219565</v>
      </c>
      <c r="P7" s="11">
        <v>0</v>
      </c>
      <c r="Q7" s="11">
        <v>0</v>
      </c>
      <c r="R7" s="16">
        <v>9390</v>
      </c>
      <c r="S7" s="12" t="s">
        <v>51</v>
      </c>
    </row>
    <row r="8" spans="1:19" x14ac:dyDescent="0.3">
      <c r="A8" s="3">
        <v>45844</v>
      </c>
      <c r="B8" s="16">
        <f>157911.5+59999</f>
        <v>217910.5</v>
      </c>
      <c r="C8" s="11">
        <f t="shared" si="0"/>
        <v>198100.45454545453</v>
      </c>
      <c r="D8" s="11">
        <f t="shared" si="1"/>
        <v>19810.045454545456</v>
      </c>
      <c r="E8" s="16">
        <f>12805+10190</f>
        <v>22995</v>
      </c>
      <c r="F8" s="11">
        <f t="shared" si="2"/>
        <v>20904.545454545452</v>
      </c>
      <c r="G8" s="11">
        <f t="shared" si="3"/>
        <v>2090.4545454545455</v>
      </c>
      <c r="H8" s="16">
        <f>649+700</f>
        <v>1349</v>
      </c>
      <c r="I8" s="11">
        <f t="shared" si="4"/>
        <v>1124.1666666666667</v>
      </c>
      <c r="J8" s="11">
        <f t="shared" si="5"/>
        <v>224.83333333333337</v>
      </c>
      <c r="K8" s="16">
        <f>2640+1560</f>
        <v>4200</v>
      </c>
      <c r="L8" s="11">
        <f t="shared" si="6"/>
        <v>3500</v>
      </c>
      <c r="M8" s="11">
        <f t="shared" si="7"/>
        <v>700</v>
      </c>
      <c r="N8" s="16">
        <f>9565+11208</f>
        <v>20773</v>
      </c>
      <c r="O8" s="16">
        <f>156050.5+58185</f>
        <v>214235.5</v>
      </c>
      <c r="P8" s="16">
        <f>3056+8390</f>
        <v>11446</v>
      </c>
      <c r="Q8" s="11">
        <v>0</v>
      </c>
      <c r="R8" s="11">
        <v>0</v>
      </c>
      <c r="S8" s="12" t="s">
        <v>52</v>
      </c>
    </row>
    <row r="9" spans="1:19" x14ac:dyDescent="0.3">
      <c r="A9" s="3">
        <v>45846</v>
      </c>
      <c r="B9" s="16">
        <f>5120+92495</f>
        <v>97615</v>
      </c>
      <c r="C9" s="11">
        <f t="shared" si="0"/>
        <v>88740.909090909088</v>
      </c>
      <c r="D9" s="11">
        <f t="shared" si="1"/>
        <v>8874.0909090909081</v>
      </c>
      <c r="E9" s="16">
        <f>11136</f>
        <v>11136</v>
      </c>
      <c r="F9" s="11">
        <f t="shared" si="2"/>
        <v>10123.636363636362</v>
      </c>
      <c r="G9" s="11">
        <f t="shared" si="3"/>
        <v>1012.3636363636361</v>
      </c>
      <c r="H9" s="16">
        <v>400</v>
      </c>
      <c r="I9" s="11">
        <f t="shared" si="4"/>
        <v>333.33333333333337</v>
      </c>
      <c r="J9" s="11">
        <f t="shared" si="5"/>
        <v>66.666666666666686</v>
      </c>
      <c r="K9" s="16">
        <v>4680</v>
      </c>
      <c r="L9" s="11">
        <f t="shared" si="6"/>
        <v>3900</v>
      </c>
      <c r="M9" s="11">
        <f t="shared" si="7"/>
        <v>780</v>
      </c>
      <c r="N9" s="16">
        <f>5120+261</f>
        <v>5381</v>
      </c>
      <c r="O9" s="16">
        <f>101985</f>
        <v>101985</v>
      </c>
      <c r="P9" s="16">
        <v>6465</v>
      </c>
      <c r="Q9" s="11">
        <v>0</v>
      </c>
      <c r="R9" s="11">
        <v>0</v>
      </c>
      <c r="S9" s="12" t="s">
        <v>53</v>
      </c>
    </row>
    <row r="10" spans="1:19" x14ac:dyDescent="0.3">
      <c r="A10" s="3">
        <v>45847</v>
      </c>
      <c r="B10" s="16">
        <f>61209.5+56944</f>
        <v>118153.5</v>
      </c>
      <c r="C10" s="11">
        <f t="shared" si="0"/>
        <v>107412.27272727272</v>
      </c>
      <c r="D10" s="11">
        <f t="shared" si="1"/>
        <v>10741.227272727272</v>
      </c>
      <c r="E10" s="16">
        <f>690+2150</f>
        <v>2840</v>
      </c>
      <c r="F10" s="11">
        <f t="shared" si="2"/>
        <v>2581.8181818181815</v>
      </c>
      <c r="G10" s="11">
        <f t="shared" si="3"/>
        <v>258.18181818181819</v>
      </c>
      <c r="H10" s="16">
        <f>400+480</f>
        <v>880</v>
      </c>
      <c r="I10" s="11">
        <f t="shared" si="4"/>
        <v>733.33333333333337</v>
      </c>
      <c r="J10" s="11">
        <f t="shared" si="5"/>
        <v>146.66666666666669</v>
      </c>
      <c r="K10" s="16">
        <f>3469+1560</f>
        <v>5029</v>
      </c>
      <c r="L10" s="11">
        <f t="shared" si="6"/>
        <v>4190.8333333333339</v>
      </c>
      <c r="M10" s="11">
        <f t="shared" si="7"/>
        <v>838.16666666666686</v>
      </c>
      <c r="N10" s="16">
        <f>4746.5+395</f>
        <v>5141.5</v>
      </c>
      <c r="O10" s="16">
        <f>61022-1790+60739</f>
        <v>119971</v>
      </c>
      <c r="P10" s="16">
        <v>1790</v>
      </c>
      <c r="Q10" s="11">
        <v>0</v>
      </c>
      <c r="R10" s="16">
        <f>15710+11335</f>
        <v>27045</v>
      </c>
      <c r="S10" s="12"/>
    </row>
    <row r="11" spans="1:19" x14ac:dyDescent="0.3">
      <c r="A11" s="3">
        <v>45848</v>
      </c>
      <c r="B11" s="16">
        <f>84898+23430</f>
        <v>108328</v>
      </c>
      <c r="C11" s="11">
        <f t="shared" si="0"/>
        <v>98479.999999999985</v>
      </c>
      <c r="D11" s="11">
        <f t="shared" si="1"/>
        <v>9847.9999999999982</v>
      </c>
      <c r="E11" s="16">
        <f>790</f>
        <v>790</v>
      </c>
      <c r="F11" s="11">
        <f t="shared" si="2"/>
        <v>718.18181818181813</v>
      </c>
      <c r="G11" s="11">
        <f t="shared" si="3"/>
        <v>71.818181818181813</v>
      </c>
      <c r="H11" s="16">
        <f>700</f>
        <v>700</v>
      </c>
      <c r="I11" s="11">
        <f t="shared" si="4"/>
        <v>583.33333333333337</v>
      </c>
      <c r="J11" s="11">
        <f t="shared" si="5"/>
        <v>116.66666666666669</v>
      </c>
      <c r="K11" s="16">
        <f>3240+720</f>
        <v>3960</v>
      </c>
      <c r="L11" s="11">
        <f t="shared" si="6"/>
        <v>3300</v>
      </c>
      <c r="M11" s="11">
        <f t="shared" si="7"/>
        <v>660</v>
      </c>
      <c r="N11" s="16">
        <f>3081+8680</f>
        <v>11761</v>
      </c>
      <c r="O11" s="16">
        <f>86547-7865+15470</f>
        <v>94152</v>
      </c>
      <c r="P11" s="16">
        <v>7865</v>
      </c>
      <c r="Q11" s="16">
        <v>20000</v>
      </c>
      <c r="R11" s="16">
        <f>6230+11915</f>
        <v>18145</v>
      </c>
      <c r="S11" s="12"/>
    </row>
    <row r="12" spans="1:19" x14ac:dyDescent="0.3">
      <c r="A12" s="3">
        <v>45849</v>
      </c>
      <c r="B12" s="16">
        <f>80597+56815</f>
        <v>137412</v>
      </c>
      <c r="C12" s="11">
        <f t="shared" si="0"/>
        <v>124919.99999999999</v>
      </c>
      <c r="D12" s="11">
        <f t="shared" si="1"/>
        <v>12491.999999999998</v>
      </c>
      <c r="E12" s="16">
        <f>1305+785</f>
        <v>2090</v>
      </c>
      <c r="F12" s="11">
        <f t="shared" si="2"/>
        <v>1899.9999999999998</v>
      </c>
      <c r="G12" s="11">
        <f t="shared" si="3"/>
        <v>189.99999999999997</v>
      </c>
      <c r="H12" s="16">
        <f>695+560</f>
        <v>1255</v>
      </c>
      <c r="I12" s="11">
        <f t="shared" si="4"/>
        <v>1045.8333333333335</v>
      </c>
      <c r="J12" s="11">
        <f t="shared" si="5"/>
        <v>209.16666666666671</v>
      </c>
      <c r="K12" s="16">
        <f>3000+3240</f>
        <v>6240</v>
      </c>
      <c r="L12" s="11">
        <f t="shared" si="6"/>
        <v>5200</v>
      </c>
      <c r="M12" s="11">
        <f t="shared" si="7"/>
        <v>1040</v>
      </c>
      <c r="N12" s="16">
        <f>5050+2765</f>
        <v>7815</v>
      </c>
      <c r="O12" s="16">
        <f>80547+58635-4290</f>
        <v>134892</v>
      </c>
      <c r="P12" s="16">
        <v>4290</v>
      </c>
      <c r="Q12" s="11">
        <v>0</v>
      </c>
      <c r="R12" s="16">
        <v>5480</v>
      </c>
      <c r="S12" s="12" t="s">
        <v>54</v>
      </c>
    </row>
    <row r="13" spans="1:19" x14ac:dyDescent="0.3">
      <c r="A13" s="3">
        <v>45850</v>
      </c>
      <c r="B13" s="16">
        <f>45693.5+154107</f>
        <v>199800.5</v>
      </c>
      <c r="C13" s="11">
        <f t="shared" si="0"/>
        <v>181636.81818181818</v>
      </c>
      <c r="D13" s="11">
        <f t="shared" si="1"/>
        <v>18163.681818181816</v>
      </c>
      <c r="E13" s="16">
        <f>1520</f>
        <v>1520</v>
      </c>
      <c r="F13" s="11">
        <f t="shared" si="2"/>
        <v>1381.8181818181818</v>
      </c>
      <c r="G13" s="11">
        <f t="shared" si="3"/>
        <v>138.18181818181819</v>
      </c>
      <c r="H13" s="16">
        <v>720</v>
      </c>
      <c r="I13" s="11">
        <f t="shared" si="4"/>
        <v>600</v>
      </c>
      <c r="J13" s="11">
        <f t="shared" si="5"/>
        <v>120</v>
      </c>
      <c r="K13" s="16">
        <f>240+2100</f>
        <v>2340</v>
      </c>
      <c r="L13" s="11">
        <f t="shared" si="6"/>
        <v>1950</v>
      </c>
      <c r="M13" s="11">
        <f t="shared" si="7"/>
        <v>390</v>
      </c>
      <c r="N13" s="16">
        <f>1286+5898</f>
        <v>7184</v>
      </c>
      <c r="O13" s="16">
        <f>45367.5+151829-5005</f>
        <v>192191.5</v>
      </c>
      <c r="P13" s="16">
        <v>5005</v>
      </c>
      <c r="Q13" s="11">
        <v>0</v>
      </c>
      <c r="R13" s="16">
        <v>12135</v>
      </c>
      <c r="S13" s="12" t="s">
        <v>55</v>
      </c>
    </row>
    <row r="14" spans="1:19" x14ac:dyDescent="0.3">
      <c r="A14" s="3">
        <v>45851</v>
      </c>
      <c r="B14" s="16">
        <f>197475+75627</f>
        <v>273102</v>
      </c>
      <c r="C14" s="11">
        <f t="shared" si="0"/>
        <v>248274.54545454544</v>
      </c>
      <c r="D14" s="11">
        <f t="shared" si="1"/>
        <v>24827.454545454544</v>
      </c>
      <c r="E14" s="16">
        <f>1433+2820</f>
        <v>4253</v>
      </c>
      <c r="F14" s="11">
        <f t="shared" si="2"/>
        <v>3866.363636363636</v>
      </c>
      <c r="G14" s="11">
        <f t="shared" si="3"/>
        <v>386.63636363636363</v>
      </c>
      <c r="H14" s="16">
        <v>1310</v>
      </c>
      <c r="I14" s="11">
        <f t="shared" si="4"/>
        <v>1091.6666666666667</v>
      </c>
      <c r="J14" s="11">
        <f t="shared" si="5"/>
        <v>218.33333333333337</v>
      </c>
      <c r="K14" s="16">
        <f>6720+1320</f>
        <v>8040</v>
      </c>
      <c r="L14" s="11">
        <f t="shared" si="6"/>
        <v>6700</v>
      </c>
      <c r="M14" s="11">
        <f t="shared" si="7"/>
        <v>1340</v>
      </c>
      <c r="N14" s="16">
        <f>17525+7477</f>
        <v>25002</v>
      </c>
      <c r="O14" s="16">
        <f>189413-1095+72290-2230</f>
        <v>258378</v>
      </c>
      <c r="P14" s="16">
        <f>2230+1095</f>
        <v>3325</v>
      </c>
      <c r="Q14" s="11">
        <v>0</v>
      </c>
      <c r="R14" s="16">
        <f>1790+10405</f>
        <v>12195</v>
      </c>
      <c r="S14" s="12"/>
    </row>
    <row r="15" spans="1:19" x14ac:dyDescent="0.3">
      <c r="A15" s="3">
        <v>45853</v>
      </c>
      <c r="B15" s="16">
        <f>107715+81170</f>
        <v>188885</v>
      </c>
      <c r="C15" s="11">
        <f t="shared" si="0"/>
        <v>171713.63636363635</v>
      </c>
      <c r="D15" s="11">
        <f t="shared" si="1"/>
        <v>17171.363636363636</v>
      </c>
      <c r="E15" s="16">
        <f>400+2845</f>
        <v>3245</v>
      </c>
      <c r="F15" s="11">
        <f t="shared" si="2"/>
        <v>2949.9999999999995</v>
      </c>
      <c r="G15" s="11">
        <f t="shared" si="3"/>
        <v>294.99999999999994</v>
      </c>
      <c r="H15" s="16">
        <f>140</f>
        <v>140</v>
      </c>
      <c r="I15" s="11">
        <f t="shared" si="4"/>
        <v>116.66666666666667</v>
      </c>
      <c r="J15" s="11">
        <f t="shared" si="5"/>
        <v>23.333333333333336</v>
      </c>
      <c r="K15" s="16">
        <f>2880+2160</f>
        <v>5040</v>
      </c>
      <c r="L15" s="11">
        <f t="shared" si="6"/>
        <v>4200</v>
      </c>
      <c r="M15" s="11">
        <f t="shared" si="7"/>
        <v>840</v>
      </c>
      <c r="N15" s="16">
        <f>4005+8940</f>
        <v>12945</v>
      </c>
      <c r="O15" s="16">
        <f>106990+77375-7160</f>
        <v>177205</v>
      </c>
      <c r="P15" s="16">
        <v>7160</v>
      </c>
      <c r="Q15" s="11">
        <v>0</v>
      </c>
      <c r="R15" s="16">
        <f>1790+16205</f>
        <v>17995</v>
      </c>
      <c r="S15" s="12"/>
    </row>
    <row r="16" spans="1:19" x14ac:dyDescent="0.3">
      <c r="A16" s="3">
        <v>45854</v>
      </c>
      <c r="B16" s="16">
        <f>46477.5+47171</f>
        <v>93648.5</v>
      </c>
      <c r="C16" s="11">
        <f t="shared" si="0"/>
        <v>85135</v>
      </c>
      <c r="D16" s="11">
        <f t="shared" si="1"/>
        <v>8513.5</v>
      </c>
      <c r="E16" s="16">
        <f>6774+1050</f>
        <v>7824</v>
      </c>
      <c r="F16" s="11">
        <f t="shared" si="2"/>
        <v>7112.7272727272721</v>
      </c>
      <c r="G16" s="11">
        <f t="shared" si="3"/>
        <v>711.27272727272725</v>
      </c>
      <c r="H16" s="16">
        <f>400</f>
        <v>400</v>
      </c>
      <c r="I16" s="11">
        <f t="shared" si="4"/>
        <v>333.33333333333337</v>
      </c>
      <c r="J16" s="11">
        <f t="shared" si="5"/>
        <v>66.666666666666686</v>
      </c>
      <c r="K16" s="16">
        <f>3000+1800</f>
        <v>4800</v>
      </c>
      <c r="L16" s="11">
        <f t="shared" si="6"/>
        <v>4000</v>
      </c>
      <c r="M16" s="11">
        <f t="shared" si="7"/>
        <v>800</v>
      </c>
      <c r="N16" s="16">
        <f>7056.5+6080</f>
        <v>13136.5</v>
      </c>
      <c r="O16" s="16">
        <f>49595+43941-1790</f>
        <v>91746</v>
      </c>
      <c r="P16" s="16">
        <v>1790</v>
      </c>
      <c r="Q16" s="11">
        <v>0</v>
      </c>
      <c r="R16" s="16">
        <v>23280</v>
      </c>
      <c r="S16" s="12"/>
    </row>
    <row r="17" spans="1:19" x14ac:dyDescent="0.3">
      <c r="A17" s="3">
        <v>45855</v>
      </c>
      <c r="B17" s="16">
        <f>77305+47960</f>
        <v>125265</v>
      </c>
      <c r="C17" s="11">
        <f t="shared" si="0"/>
        <v>113877.27272727272</v>
      </c>
      <c r="D17" s="11">
        <f t="shared" si="1"/>
        <v>11387.727272727272</v>
      </c>
      <c r="E17" s="16">
        <f>6826+3126</f>
        <v>9952</v>
      </c>
      <c r="F17" s="11">
        <f t="shared" si="2"/>
        <v>9047.2727272727261</v>
      </c>
      <c r="G17" s="11">
        <f t="shared" si="3"/>
        <v>904.72727272727263</v>
      </c>
      <c r="H17" s="16">
        <v>640</v>
      </c>
      <c r="I17" s="11">
        <f t="shared" si="4"/>
        <v>533.33333333333337</v>
      </c>
      <c r="J17" s="11">
        <f t="shared" si="5"/>
        <v>106.66666666666669</v>
      </c>
      <c r="K17" s="16">
        <f>6120+2160</f>
        <v>8280</v>
      </c>
      <c r="L17" s="11">
        <f t="shared" si="6"/>
        <v>6900</v>
      </c>
      <c r="M17" s="11">
        <f t="shared" si="7"/>
        <v>1380</v>
      </c>
      <c r="N17" s="16">
        <f>301+2766</f>
        <v>3067</v>
      </c>
      <c r="O17" s="16">
        <f>90590+50480</f>
        <v>141070</v>
      </c>
      <c r="P17" s="11">
        <v>0</v>
      </c>
      <c r="Q17" s="11">
        <v>0</v>
      </c>
      <c r="R17" s="11">
        <v>0</v>
      </c>
      <c r="S17" s="12"/>
    </row>
    <row r="18" spans="1:19" x14ac:dyDescent="0.3">
      <c r="A18" s="3">
        <v>45856</v>
      </c>
      <c r="B18" s="16">
        <f>16875+76139</f>
        <v>93014</v>
      </c>
      <c r="C18" s="11">
        <f t="shared" si="0"/>
        <v>84558.181818181809</v>
      </c>
      <c r="D18" s="11">
        <f t="shared" si="1"/>
        <v>8455.818181818182</v>
      </c>
      <c r="E18" s="16">
        <f>3045+6680</f>
        <v>9725</v>
      </c>
      <c r="F18" s="11">
        <f t="shared" si="2"/>
        <v>8840.9090909090901</v>
      </c>
      <c r="G18" s="11">
        <f t="shared" si="3"/>
        <v>884.09090909090901</v>
      </c>
      <c r="H18" s="16">
        <v>900</v>
      </c>
      <c r="I18" s="11">
        <f t="shared" si="4"/>
        <v>750</v>
      </c>
      <c r="J18" s="11">
        <f t="shared" si="5"/>
        <v>150</v>
      </c>
      <c r="K18" s="16">
        <f>2160+4680</f>
        <v>6840</v>
      </c>
      <c r="L18" s="11">
        <f t="shared" si="6"/>
        <v>5700</v>
      </c>
      <c r="M18" s="11">
        <f t="shared" si="7"/>
        <v>1140</v>
      </c>
      <c r="N18" s="16">
        <f>465+6614</f>
        <v>7079</v>
      </c>
      <c r="O18" s="16">
        <f>21615+73550</f>
        <v>95165</v>
      </c>
      <c r="P18" s="16">
        <v>8235</v>
      </c>
      <c r="Q18" s="11">
        <v>0</v>
      </c>
      <c r="R18" s="11">
        <v>0</v>
      </c>
      <c r="S18" s="12"/>
    </row>
    <row r="19" spans="1:19" x14ac:dyDescent="0.3">
      <c r="A19" s="3">
        <v>45857</v>
      </c>
      <c r="B19" s="16">
        <f>58950+140765</f>
        <v>199715</v>
      </c>
      <c r="C19" s="11">
        <f t="shared" si="0"/>
        <v>181559.09090909088</v>
      </c>
      <c r="D19" s="11">
        <f t="shared" si="1"/>
        <v>18155.909090909088</v>
      </c>
      <c r="E19" s="16">
        <f>3970+13325</f>
        <v>17295</v>
      </c>
      <c r="F19" s="11">
        <f t="shared" si="2"/>
        <v>15722.727272727272</v>
      </c>
      <c r="G19" s="11">
        <f t="shared" si="3"/>
        <v>1572.272727272727</v>
      </c>
      <c r="H19" s="11">
        <v>0</v>
      </c>
      <c r="I19" s="11">
        <f t="shared" si="4"/>
        <v>0</v>
      </c>
      <c r="J19" s="11">
        <f t="shared" si="5"/>
        <v>0</v>
      </c>
      <c r="K19" s="16">
        <f>3360+5640</f>
        <v>9000</v>
      </c>
      <c r="L19" s="11">
        <f t="shared" si="6"/>
        <v>7500</v>
      </c>
      <c r="M19" s="11">
        <f t="shared" si="7"/>
        <v>1500</v>
      </c>
      <c r="N19" s="16">
        <f>4715+4700</f>
        <v>9415</v>
      </c>
      <c r="O19" s="16">
        <f>61565-8995+150320</f>
        <v>202890</v>
      </c>
      <c r="P19" s="16">
        <f>4710+8995</f>
        <v>13705</v>
      </c>
      <c r="Q19" s="11">
        <v>0</v>
      </c>
      <c r="R19" s="16">
        <v>11185</v>
      </c>
      <c r="S19" s="12"/>
    </row>
    <row r="20" spans="1:19" x14ac:dyDescent="0.3">
      <c r="A20" s="3">
        <v>45858</v>
      </c>
      <c r="B20" s="16">
        <f>96640+148240</f>
        <v>244880</v>
      </c>
      <c r="C20" s="11">
        <f t="shared" si="0"/>
        <v>222618.18181818179</v>
      </c>
      <c r="D20" s="11">
        <f t="shared" si="1"/>
        <v>22261.81818181818</v>
      </c>
      <c r="E20" s="16">
        <f>4925+9710</f>
        <v>14635</v>
      </c>
      <c r="F20" s="11">
        <f t="shared" si="2"/>
        <v>13304.545454545454</v>
      </c>
      <c r="G20" s="11">
        <f t="shared" si="3"/>
        <v>1330.4545454545453</v>
      </c>
      <c r="H20" s="11">
        <v>0</v>
      </c>
      <c r="I20" s="11">
        <f t="shared" si="4"/>
        <v>0</v>
      </c>
      <c r="J20" s="11">
        <f t="shared" si="5"/>
        <v>0</v>
      </c>
      <c r="K20" s="16">
        <f>1320+4920</f>
        <v>6240</v>
      </c>
      <c r="L20" s="11">
        <f t="shared" si="6"/>
        <v>5200</v>
      </c>
      <c r="M20" s="11">
        <f t="shared" si="7"/>
        <v>1040</v>
      </c>
      <c r="N20" s="16">
        <f>17775+3500</f>
        <v>21275</v>
      </c>
      <c r="O20" s="16">
        <f>85110+148840-785</f>
        <v>233165</v>
      </c>
      <c r="P20" s="16">
        <f>785+10530</f>
        <v>11315</v>
      </c>
      <c r="Q20" s="11">
        <v>0</v>
      </c>
      <c r="R20" s="16">
        <v>10015</v>
      </c>
      <c r="S20" s="12"/>
    </row>
    <row r="21" spans="1:19" x14ac:dyDescent="0.3">
      <c r="A21" s="3">
        <v>45860</v>
      </c>
      <c r="B21" s="16">
        <f>50845+56390</f>
        <v>107235</v>
      </c>
      <c r="C21" s="11">
        <f t="shared" si="0"/>
        <v>97486.363636363632</v>
      </c>
      <c r="D21" s="11">
        <f t="shared" si="1"/>
        <v>9748.636363636364</v>
      </c>
      <c r="E21" s="16">
        <f>4970+5765</f>
        <v>10735</v>
      </c>
      <c r="F21" s="11">
        <f t="shared" si="2"/>
        <v>9759.0909090909081</v>
      </c>
      <c r="G21" s="11">
        <f t="shared" si="3"/>
        <v>975.90909090909088</v>
      </c>
      <c r="H21" s="11">
        <f>0</f>
        <v>0</v>
      </c>
      <c r="I21" s="11">
        <f t="shared" si="4"/>
        <v>0</v>
      </c>
      <c r="J21" s="11">
        <f t="shared" si="5"/>
        <v>0</v>
      </c>
      <c r="K21" s="16">
        <f>4200+2400</f>
        <v>6600</v>
      </c>
      <c r="L21" s="11">
        <f t="shared" si="6"/>
        <v>5500</v>
      </c>
      <c r="M21" s="11">
        <f t="shared" si="7"/>
        <v>1100</v>
      </c>
      <c r="N21" s="16">
        <f>1633+5220</f>
        <v>6853</v>
      </c>
      <c r="O21" s="16">
        <f>54332+59335</f>
        <v>113667</v>
      </c>
      <c r="P21" s="16">
        <v>4050</v>
      </c>
      <c r="Q21" s="11">
        <v>0</v>
      </c>
      <c r="R21" s="11">
        <v>0</v>
      </c>
      <c r="S21" s="12"/>
    </row>
    <row r="22" spans="1:19" x14ac:dyDescent="0.3">
      <c r="A22" s="3">
        <v>45861</v>
      </c>
      <c r="B22" s="16">
        <f>34214+54470</f>
        <v>88684</v>
      </c>
      <c r="C22" s="11">
        <f t="shared" si="0"/>
        <v>80621.818181818177</v>
      </c>
      <c r="D22" s="11">
        <f t="shared" si="1"/>
        <v>8062.181818181818</v>
      </c>
      <c r="E22" s="16">
        <f>4205+4580</f>
        <v>8785</v>
      </c>
      <c r="F22" s="11">
        <f t="shared" si="2"/>
        <v>7986.363636363636</v>
      </c>
      <c r="G22" s="11">
        <f t="shared" si="3"/>
        <v>798.63636363636351</v>
      </c>
      <c r="H22" s="16">
        <v>700</v>
      </c>
      <c r="I22" s="11">
        <f t="shared" si="4"/>
        <v>583.33333333333337</v>
      </c>
      <c r="J22" s="11">
        <f t="shared" si="5"/>
        <v>116.66666666666669</v>
      </c>
      <c r="K22" s="16">
        <f>2832+3960</f>
        <v>6792</v>
      </c>
      <c r="L22" s="11">
        <f t="shared" si="6"/>
        <v>5660</v>
      </c>
      <c r="M22" s="11">
        <f t="shared" si="7"/>
        <v>1132</v>
      </c>
      <c r="N22" s="16">
        <f>6635+3835</f>
        <v>10470</v>
      </c>
      <c r="O22" s="16">
        <f>35316+59175</f>
        <v>94491</v>
      </c>
      <c r="P22" s="11">
        <v>0</v>
      </c>
      <c r="Q22" s="11">
        <v>0</v>
      </c>
      <c r="R22" s="16">
        <f>11365+12565</f>
        <v>23930</v>
      </c>
      <c r="S22" s="12"/>
    </row>
    <row r="23" spans="1:19" x14ac:dyDescent="0.3">
      <c r="A23" s="3">
        <v>45862</v>
      </c>
      <c r="B23" s="16">
        <f>59030+54160</f>
        <v>113190</v>
      </c>
      <c r="C23" s="11">
        <f t="shared" ref="C23:C29" si="8">B23/1.1</f>
        <v>102899.99999999999</v>
      </c>
      <c r="D23" s="11">
        <f t="shared" ref="D23:D29" si="9">C23*10/100</f>
        <v>10289.999999999998</v>
      </c>
      <c r="E23" s="16">
        <f>5575+9740</f>
        <v>15315</v>
      </c>
      <c r="F23" s="11">
        <f t="shared" ref="F23:F29" si="10">E23/1.1</f>
        <v>13922.727272727272</v>
      </c>
      <c r="G23" s="11">
        <f t="shared" ref="G23:G29" si="11">F23*10/100</f>
        <v>1392.272727272727</v>
      </c>
      <c r="H23" s="11">
        <v>0</v>
      </c>
      <c r="I23" s="11">
        <f t="shared" ref="I23:I29" si="12">H23/1.2</f>
        <v>0</v>
      </c>
      <c r="J23" s="11">
        <f t="shared" ref="J23:J29" si="13">I23*20/100</f>
        <v>0</v>
      </c>
      <c r="K23" s="16">
        <f>2040+4800</f>
        <v>6840</v>
      </c>
      <c r="L23" s="11">
        <f t="shared" ref="L23:L29" si="14">K23/1.2</f>
        <v>5700</v>
      </c>
      <c r="M23" s="11">
        <f t="shared" ref="M23:M29" si="15">L23*20/100</f>
        <v>1140</v>
      </c>
      <c r="N23" s="16">
        <f>10645+2045</f>
        <v>12690</v>
      </c>
      <c r="O23" s="16">
        <f>56000-5215+66655</f>
        <v>117440</v>
      </c>
      <c r="P23" s="16">
        <v>5215</v>
      </c>
      <c r="Q23" s="11">
        <v>0</v>
      </c>
      <c r="R23" s="16">
        <f>2190+5155</f>
        <v>7345</v>
      </c>
      <c r="S23" s="12"/>
    </row>
    <row r="24" spans="1:19" x14ac:dyDescent="0.3">
      <c r="A24" s="3">
        <v>45863</v>
      </c>
      <c r="B24" s="16">
        <f>37895+89900</f>
        <v>127795</v>
      </c>
      <c r="C24" s="11">
        <f t="shared" si="8"/>
        <v>116177.27272727272</v>
      </c>
      <c r="D24" s="11">
        <f t="shared" si="9"/>
        <v>11617.727272727272</v>
      </c>
      <c r="E24" s="16">
        <f>2605+12250</f>
        <v>14855</v>
      </c>
      <c r="F24" s="11">
        <f t="shared" si="10"/>
        <v>13504.545454545454</v>
      </c>
      <c r="G24" s="11">
        <f t="shared" si="11"/>
        <v>1350.4545454545453</v>
      </c>
      <c r="H24" s="16">
        <f>200+1400</f>
        <v>1600</v>
      </c>
      <c r="I24" s="11">
        <f t="shared" si="12"/>
        <v>1333.3333333333335</v>
      </c>
      <c r="J24" s="11">
        <f t="shared" si="13"/>
        <v>266.66666666666674</v>
      </c>
      <c r="K24" s="16">
        <f>3120+5760</f>
        <v>8880</v>
      </c>
      <c r="L24" s="11">
        <f t="shared" si="14"/>
        <v>7400</v>
      </c>
      <c r="M24" s="11">
        <f t="shared" si="15"/>
        <v>1480</v>
      </c>
      <c r="N24" s="16">
        <f>6555+10855</f>
        <v>17410</v>
      </c>
      <c r="O24" s="16">
        <f>37265+98455-5830</f>
        <v>129890</v>
      </c>
      <c r="P24" s="16">
        <v>5830</v>
      </c>
      <c r="Q24" s="11">
        <v>0</v>
      </c>
      <c r="R24" s="16">
        <v>11865</v>
      </c>
      <c r="S24" s="12" t="s">
        <v>56</v>
      </c>
    </row>
    <row r="25" spans="1:19" x14ac:dyDescent="0.3">
      <c r="A25" s="3">
        <v>45864</v>
      </c>
      <c r="B25" s="16">
        <f>127759+44065</f>
        <v>171824</v>
      </c>
      <c r="C25" s="11">
        <f t="shared" si="8"/>
        <v>156203.63636363635</v>
      </c>
      <c r="D25" s="11">
        <f t="shared" si="9"/>
        <v>15620.363636363636</v>
      </c>
      <c r="E25" s="16">
        <f>13440+5765</f>
        <v>19205</v>
      </c>
      <c r="F25" s="11">
        <f t="shared" si="10"/>
        <v>17459.090909090908</v>
      </c>
      <c r="G25" s="11">
        <f t="shared" si="11"/>
        <v>1745.909090909091</v>
      </c>
      <c r="H25" s="16">
        <f>1000</f>
        <v>1000</v>
      </c>
      <c r="I25" s="11">
        <f t="shared" si="12"/>
        <v>833.33333333333337</v>
      </c>
      <c r="J25" s="11">
        <f t="shared" si="13"/>
        <v>166.66666666666669</v>
      </c>
      <c r="K25" s="16">
        <f>4224+3240</f>
        <v>7464</v>
      </c>
      <c r="L25" s="11">
        <f t="shared" si="14"/>
        <v>6220</v>
      </c>
      <c r="M25" s="11">
        <f t="shared" si="15"/>
        <v>1244</v>
      </c>
      <c r="N25" s="16">
        <f>11097.5</f>
        <v>11097.5</v>
      </c>
      <c r="O25" s="16">
        <f>130085.5+47225</f>
        <v>177310.5</v>
      </c>
      <c r="P25" s="16">
        <f>5240+5845</f>
        <v>11085</v>
      </c>
      <c r="Q25" s="11">
        <v>0</v>
      </c>
      <c r="R25" s="11">
        <v>0</v>
      </c>
      <c r="S25" s="12" t="s">
        <v>57</v>
      </c>
    </row>
    <row r="26" spans="1:19" x14ac:dyDescent="0.3">
      <c r="A26" s="3">
        <v>45865</v>
      </c>
      <c r="B26" s="16">
        <f>116825+105615</f>
        <v>222440</v>
      </c>
      <c r="C26" s="11">
        <f t="shared" si="8"/>
        <v>202218.18181818179</v>
      </c>
      <c r="D26" s="11">
        <f t="shared" si="9"/>
        <v>20221.81818181818</v>
      </c>
      <c r="E26" s="16">
        <f>10005+12000</f>
        <v>22005</v>
      </c>
      <c r="F26" s="11">
        <f t="shared" si="10"/>
        <v>20004.545454545452</v>
      </c>
      <c r="G26" s="11">
        <f t="shared" si="11"/>
        <v>2000.4545454545453</v>
      </c>
      <c r="H26" s="11">
        <f>0</f>
        <v>0</v>
      </c>
      <c r="I26" s="11">
        <f t="shared" si="12"/>
        <v>0</v>
      </c>
      <c r="J26" s="11">
        <f t="shared" si="13"/>
        <v>0</v>
      </c>
      <c r="K26" s="16">
        <f>2640+3360</f>
        <v>6000</v>
      </c>
      <c r="L26" s="11">
        <f t="shared" si="14"/>
        <v>5000</v>
      </c>
      <c r="M26" s="11">
        <f t="shared" si="15"/>
        <v>1000</v>
      </c>
      <c r="N26" s="16">
        <f>3390+15790</f>
        <v>19180</v>
      </c>
      <c r="O26" s="16">
        <f>126080+99589.5</f>
        <v>225669.5</v>
      </c>
      <c r="P26" s="16">
        <v>5595.5</v>
      </c>
      <c r="Q26" s="11">
        <v>0</v>
      </c>
      <c r="R26" s="11">
        <v>0</v>
      </c>
      <c r="S26" s="12"/>
    </row>
    <row r="27" spans="1:19" x14ac:dyDescent="0.3">
      <c r="A27" s="3">
        <v>45867</v>
      </c>
      <c r="B27" s="16">
        <f>72395+9185</f>
        <v>81580</v>
      </c>
      <c r="C27" s="11">
        <f t="shared" si="8"/>
        <v>74163.636363636353</v>
      </c>
      <c r="D27" s="11">
        <f t="shared" si="9"/>
        <v>7416.3636363636351</v>
      </c>
      <c r="E27" s="16">
        <f>5515+1325</f>
        <v>6840</v>
      </c>
      <c r="F27" s="11">
        <f t="shared" si="10"/>
        <v>6218.181818181818</v>
      </c>
      <c r="G27" s="11">
        <f t="shared" si="11"/>
        <v>621.81818181818176</v>
      </c>
      <c r="H27" s="16">
        <v>400</v>
      </c>
      <c r="I27" s="11">
        <f t="shared" si="12"/>
        <v>333.33333333333337</v>
      </c>
      <c r="J27" s="11">
        <f t="shared" si="13"/>
        <v>66.666666666666686</v>
      </c>
      <c r="K27" s="16">
        <f>4080+1200</f>
        <v>5280</v>
      </c>
      <c r="L27" s="11">
        <f t="shared" si="14"/>
        <v>4400</v>
      </c>
      <c r="M27" s="11">
        <f t="shared" si="15"/>
        <v>880</v>
      </c>
      <c r="N27" s="16">
        <f>12384+375</f>
        <v>12759</v>
      </c>
      <c r="O27" s="16">
        <f>70006+11335-4865</f>
        <v>76476</v>
      </c>
      <c r="P27" s="16">
        <v>4865</v>
      </c>
      <c r="Q27" s="11">
        <v>0</v>
      </c>
      <c r="R27" s="16">
        <v>13860</v>
      </c>
      <c r="S27" s="12"/>
    </row>
    <row r="28" spans="1:19" x14ac:dyDescent="0.3">
      <c r="A28" s="3">
        <v>45868</v>
      </c>
      <c r="B28" s="16">
        <f>46490+40672.5</f>
        <v>87162.5</v>
      </c>
      <c r="C28" s="11">
        <f t="shared" si="8"/>
        <v>79238.636363636353</v>
      </c>
      <c r="D28" s="11">
        <f t="shared" si="9"/>
        <v>7923.8636363636351</v>
      </c>
      <c r="E28" s="16">
        <f>4620+2140</f>
        <v>6760</v>
      </c>
      <c r="F28" s="11">
        <f t="shared" si="10"/>
        <v>6145.454545454545</v>
      </c>
      <c r="G28" s="11">
        <f t="shared" si="11"/>
        <v>614.5454545454545</v>
      </c>
      <c r="H28" s="16">
        <v>900</v>
      </c>
      <c r="I28" s="11">
        <f t="shared" si="12"/>
        <v>750</v>
      </c>
      <c r="J28" s="11">
        <f t="shared" si="13"/>
        <v>150</v>
      </c>
      <c r="K28" s="16">
        <f>3720+1800</f>
        <v>5520</v>
      </c>
      <c r="L28" s="11">
        <f t="shared" si="14"/>
        <v>4600</v>
      </c>
      <c r="M28" s="11">
        <f t="shared" si="15"/>
        <v>920</v>
      </c>
      <c r="N28" s="16">
        <f>585+1875</f>
        <v>2460</v>
      </c>
      <c r="O28" s="16">
        <f>52145+42737.5</f>
        <v>94882.5</v>
      </c>
      <c r="P28" s="16">
        <v>3000</v>
      </c>
      <c r="Q28" s="11">
        <v>0</v>
      </c>
      <c r="R28" s="11">
        <v>0</v>
      </c>
      <c r="S28" s="12"/>
    </row>
    <row r="29" spans="1:19" x14ac:dyDescent="0.3">
      <c r="A29" s="3">
        <v>45869</v>
      </c>
      <c r="B29" s="16">
        <f>73734+6825</f>
        <v>80559</v>
      </c>
      <c r="C29" s="11">
        <f t="shared" si="8"/>
        <v>73235.454545454544</v>
      </c>
      <c r="D29" s="11">
        <f t="shared" si="9"/>
        <v>7323.545454545454</v>
      </c>
      <c r="E29" s="16">
        <f>650</f>
        <v>650</v>
      </c>
      <c r="F29" s="11">
        <f t="shared" si="10"/>
        <v>590.90909090909088</v>
      </c>
      <c r="G29" s="11">
        <f t="shared" si="11"/>
        <v>59.090909090909093</v>
      </c>
      <c r="H29" s="16">
        <v>480</v>
      </c>
      <c r="I29" s="11">
        <f t="shared" si="12"/>
        <v>400</v>
      </c>
      <c r="J29" s="11">
        <f t="shared" si="13"/>
        <v>80</v>
      </c>
      <c r="K29" s="16">
        <f>2880+240</f>
        <v>3120</v>
      </c>
      <c r="L29" s="11">
        <f t="shared" si="14"/>
        <v>2600</v>
      </c>
      <c r="M29" s="11">
        <f t="shared" si="15"/>
        <v>520</v>
      </c>
      <c r="N29" s="16">
        <f>3820+510</f>
        <v>4330</v>
      </c>
      <c r="O29" s="16">
        <f>73274-2295+7205</f>
        <v>78184</v>
      </c>
      <c r="P29" s="16">
        <v>2295</v>
      </c>
      <c r="Q29" s="11">
        <v>0</v>
      </c>
      <c r="R29" s="16">
        <v>9965</v>
      </c>
      <c r="S29" s="12"/>
    </row>
    <row r="30" spans="1:19" ht="15.6" x14ac:dyDescent="0.3">
      <c r="B30" s="20">
        <f>SUM(B3:B29)</f>
        <v>3786358.5</v>
      </c>
      <c r="C30" s="20"/>
      <c r="D30" s="20"/>
      <c r="E30" s="20">
        <f>SUM(E3:E29)</f>
        <v>266430</v>
      </c>
      <c r="F30" s="20"/>
      <c r="G30" s="20"/>
      <c r="H30" s="20">
        <f>SUM(H3:H29)</f>
        <v>18219</v>
      </c>
      <c r="I30" s="20"/>
      <c r="J30" s="20"/>
      <c r="K30" s="20">
        <f>SUM(K3:K29)</f>
        <v>159465</v>
      </c>
      <c r="L30" s="20"/>
      <c r="M30" s="20"/>
      <c r="N30" s="20">
        <f>SUM(N3:N29)</f>
        <v>277409.5</v>
      </c>
      <c r="O30" s="20">
        <f>SUM(O3:O29)</f>
        <v>3826896.5</v>
      </c>
      <c r="P30" s="20">
        <f>SUM(P3:P29)</f>
        <v>126166.5</v>
      </c>
      <c r="Q30" s="20">
        <f>SUM(Q3:Q29)</f>
        <v>20000</v>
      </c>
      <c r="R30" s="20">
        <f>SUM(R3:R29)</f>
        <v>223985</v>
      </c>
      <c r="S30" s="21"/>
    </row>
    <row r="32" spans="1:19" x14ac:dyDescent="0.3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</row>
    <row r="34" spans="2:14" x14ac:dyDescent="0.3">
      <c r="B34" s="18"/>
      <c r="E34" s="18"/>
      <c r="H34" s="18"/>
      <c r="K34" s="18"/>
      <c r="N34" s="18"/>
    </row>
  </sheetData>
  <mergeCells count="1">
    <mergeCell ref="Q1:R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topLeftCell="A25" workbookViewId="0">
      <selection activeCell="C38" sqref="C38"/>
    </sheetView>
  </sheetViews>
  <sheetFormatPr defaultRowHeight="14.4" x14ac:dyDescent="0.3"/>
  <cols>
    <col min="1" max="1" width="12.109375" style="4" bestFit="1" customWidth="1"/>
    <col min="2" max="4" width="11.6640625" bestFit="1" customWidth="1"/>
    <col min="5" max="5" width="10.109375" bestFit="1" customWidth="1"/>
    <col min="6" max="6" width="11.6640625" bestFit="1" customWidth="1"/>
    <col min="7" max="7" width="11.5546875" bestFit="1" customWidth="1"/>
    <col min="8" max="8" width="12.5546875" bestFit="1" customWidth="1"/>
    <col min="9" max="9" width="11.5546875" bestFit="1" customWidth="1"/>
    <col min="10" max="10" width="12.6640625" bestFit="1" customWidth="1"/>
    <col min="11" max="11" width="16.5546875" bestFit="1" customWidth="1"/>
    <col min="12" max="13" width="8" bestFit="1" customWidth="1"/>
    <col min="14" max="14" width="10.109375" bestFit="1" customWidth="1"/>
    <col min="15" max="15" width="11.6640625" bestFit="1" customWidth="1"/>
    <col min="16" max="16" width="10.21875" bestFit="1" customWidth="1"/>
    <col min="17" max="17" width="9.109375" bestFit="1" customWidth="1"/>
    <col min="18" max="18" width="11.44140625" bestFit="1" customWidth="1"/>
    <col min="19" max="19" width="19.10937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65" t="s">
        <v>8</v>
      </c>
      <c r="R1" s="65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45870</v>
      </c>
      <c r="B3" s="11">
        <f>69010+59125</f>
        <v>128135</v>
      </c>
      <c r="C3" s="11">
        <f>B3/1.1</f>
        <v>116486.36363636363</v>
      </c>
      <c r="D3" s="11">
        <f>C3*10/100</f>
        <v>11648.636363636362</v>
      </c>
      <c r="E3" s="11">
        <f>0</f>
        <v>0</v>
      </c>
      <c r="F3" s="11">
        <f>E3/1.1</f>
        <v>0</v>
      </c>
      <c r="G3" s="11">
        <f>F3*10/100</f>
        <v>0</v>
      </c>
      <c r="H3" s="11">
        <f>800+800</f>
        <v>1600</v>
      </c>
      <c r="I3" s="11">
        <f>H3/1.2</f>
        <v>1333.3333333333335</v>
      </c>
      <c r="J3" s="11">
        <f>I3*20/100</f>
        <v>266.66666666666674</v>
      </c>
      <c r="K3" s="11">
        <f>1920+1200</f>
        <v>3120</v>
      </c>
      <c r="L3" s="11">
        <f>K3/1.2</f>
        <v>2600</v>
      </c>
      <c r="M3" s="11">
        <f>L3*20/100</f>
        <v>520</v>
      </c>
      <c r="N3" s="11">
        <f>1740+5840</f>
        <v>7580</v>
      </c>
      <c r="O3" s="11">
        <f>67565+48477</f>
        <v>116042</v>
      </c>
      <c r="P3" s="11">
        <f>2425+6808</f>
        <v>9233</v>
      </c>
      <c r="Q3" s="11">
        <v>0</v>
      </c>
      <c r="R3" s="11">
        <v>0</v>
      </c>
      <c r="S3" s="12" t="s">
        <v>58</v>
      </c>
    </row>
    <row r="4" spans="1:19" x14ac:dyDescent="0.3">
      <c r="A4" s="3">
        <v>45871</v>
      </c>
      <c r="B4" s="11">
        <f>51530+143239.5</f>
        <v>194769.5</v>
      </c>
      <c r="C4" s="11">
        <f t="shared" ref="C4:C29" si="0">B4/1.1</f>
        <v>177063.18181818179</v>
      </c>
      <c r="D4" s="11">
        <f t="shared" ref="D4:D29" si="1">C4*10/100</f>
        <v>17706.31818181818</v>
      </c>
      <c r="E4" s="11">
        <f>6985+12650</f>
        <v>19635</v>
      </c>
      <c r="F4" s="11">
        <f t="shared" ref="F4:F29" si="2">E4/1.1</f>
        <v>17850</v>
      </c>
      <c r="G4" s="11">
        <f t="shared" ref="G4:G29" si="3">F4*10/100</f>
        <v>1785</v>
      </c>
      <c r="H4" s="11">
        <f>400</f>
        <v>400</v>
      </c>
      <c r="I4" s="11">
        <f t="shared" ref="I4:I29" si="4">H4/1.2</f>
        <v>333.33333333333337</v>
      </c>
      <c r="J4" s="11">
        <f t="shared" ref="J4:J29" si="5">I4*20/100</f>
        <v>66.666666666666686</v>
      </c>
      <c r="K4" s="11">
        <f>720+5280</f>
        <v>6000</v>
      </c>
      <c r="L4" s="11">
        <f t="shared" ref="L4:L29" si="6">K4/1.2</f>
        <v>5000</v>
      </c>
      <c r="M4" s="11">
        <f t="shared" ref="M4:M29" si="7">L4*20/100</f>
        <v>1000</v>
      </c>
      <c r="N4" s="11">
        <f>9240+8490</f>
        <v>17730</v>
      </c>
      <c r="O4" s="11">
        <f>49995+149809.5-2060</f>
        <v>197744.5</v>
      </c>
      <c r="P4" s="11">
        <v>5330</v>
      </c>
      <c r="Q4" s="11">
        <v>0</v>
      </c>
      <c r="R4" s="11">
        <v>2060</v>
      </c>
      <c r="S4" s="12" t="s">
        <v>59</v>
      </c>
    </row>
    <row r="5" spans="1:19" x14ac:dyDescent="0.3">
      <c r="A5" s="3">
        <v>45872</v>
      </c>
      <c r="B5" s="11">
        <f>199600+81795</f>
        <v>281395</v>
      </c>
      <c r="C5" s="11">
        <f t="shared" si="0"/>
        <v>255813.63636363635</v>
      </c>
      <c r="D5" s="11">
        <f t="shared" si="1"/>
        <v>25581.363636363632</v>
      </c>
      <c r="E5" s="11">
        <f>21975+4505</f>
        <v>26480</v>
      </c>
      <c r="F5" s="11">
        <f t="shared" si="2"/>
        <v>24072.727272727272</v>
      </c>
      <c r="G5" s="11">
        <f t="shared" si="3"/>
        <v>2407.272727272727</v>
      </c>
      <c r="H5" s="11">
        <f>1160+1000</f>
        <v>2160</v>
      </c>
      <c r="I5" s="11">
        <f t="shared" si="4"/>
        <v>1800</v>
      </c>
      <c r="J5" s="11">
        <f t="shared" si="5"/>
        <v>360</v>
      </c>
      <c r="K5" s="11">
        <f>8040+960</f>
        <v>9000</v>
      </c>
      <c r="L5" s="11">
        <f t="shared" si="6"/>
        <v>7500</v>
      </c>
      <c r="M5" s="11">
        <f t="shared" si="7"/>
        <v>1500</v>
      </c>
      <c r="N5" s="11">
        <f>19130+6000</f>
        <v>25130</v>
      </c>
      <c r="O5" s="11">
        <f>211645-6465+82260-4250</f>
        <v>283190</v>
      </c>
      <c r="P5" s="11">
        <f>4250+6465</f>
        <v>10715</v>
      </c>
      <c r="Q5" s="11">
        <v>0</v>
      </c>
      <c r="R5" s="11">
        <f>6720+13790+4880</f>
        <v>25390</v>
      </c>
      <c r="S5" s="19"/>
    </row>
    <row r="6" spans="1:19" x14ac:dyDescent="0.3">
      <c r="A6" s="3">
        <v>45874</v>
      </c>
      <c r="B6" s="11">
        <f>31835+44590</f>
        <v>76425</v>
      </c>
      <c r="C6" s="11">
        <f t="shared" si="0"/>
        <v>69477.272727272721</v>
      </c>
      <c r="D6" s="11">
        <f t="shared" si="1"/>
        <v>6947.7272727272721</v>
      </c>
      <c r="E6" s="11">
        <f>3595+5595</f>
        <v>9190</v>
      </c>
      <c r="F6" s="11">
        <f t="shared" si="2"/>
        <v>8354.545454545454</v>
      </c>
      <c r="G6" s="11">
        <f t="shared" si="3"/>
        <v>835.4545454545455</v>
      </c>
      <c r="H6" s="11">
        <f>300+400</f>
        <v>700</v>
      </c>
      <c r="I6" s="11">
        <f t="shared" si="4"/>
        <v>583.33333333333337</v>
      </c>
      <c r="J6" s="11">
        <f t="shared" si="5"/>
        <v>116.66666666666669</v>
      </c>
      <c r="K6" s="11">
        <f>960+4080</f>
        <v>5040</v>
      </c>
      <c r="L6" s="11">
        <f t="shared" si="6"/>
        <v>4200</v>
      </c>
      <c r="M6" s="11">
        <f t="shared" si="7"/>
        <v>840</v>
      </c>
      <c r="N6" s="11">
        <f>1360+175</f>
        <v>1535</v>
      </c>
      <c r="O6" s="11">
        <f>35330-630+54490-2213</f>
        <v>86977</v>
      </c>
      <c r="P6" s="11">
        <f>2213+630</f>
        <v>2843</v>
      </c>
      <c r="Q6" s="11">
        <v>0</v>
      </c>
      <c r="R6" s="11">
        <f>10885+12720</f>
        <v>23605</v>
      </c>
      <c r="S6" s="19"/>
    </row>
    <row r="7" spans="1:19" x14ac:dyDescent="0.3">
      <c r="A7" s="3">
        <v>45875</v>
      </c>
      <c r="B7" s="11">
        <f>54787.5+34121</f>
        <v>88908.5</v>
      </c>
      <c r="C7" s="11">
        <f t="shared" si="0"/>
        <v>80825.909090909088</v>
      </c>
      <c r="D7" s="11">
        <f t="shared" si="1"/>
        <v>8082.5909090909081</v>
      </c>
      <c r="E7" s="11">
        <f>6129+3455</f>
        <v>9584</v>
      </c>
      <c r="F7" s="11">
        <f t="shared" si="2"/>
        <v>8712.7272727272721</v>
      </c>
      <c r="G7" s="11">
        <f t="shared" si="3"/>
        <v>871.27272727272725</v>
      </c>
      <c r="H7" s="11">
        <f>200</f>
        <v>200</v>
      </c>
      <c r="I7" s="11">
        <f t="shared" si="4"/>
        <v>166.66666666666669</v>
      </c>
      <c r="J7" s="11">
        <f t="shared" si="5"/>
        <v>33.333333333333343</v>
      </c>
      <c r="K7" s="11">
        <f>2304+3000</f>
        <v>5304</v>
      </c>
      <c r="L7" s="11">
        <f t="shared" si="6"/>
        <v>4420</v>
      </c>
      <c r="M7" s="11">
        <f t="shared" si="7"/>
        <v>884</v>
      </c>
      <c r="N7" s="11">
        <f>5425+2679</f>
        <v>8104</v>
      </c>
      <c r="O7" s="11">
        <f>57995.5+37897</f>
        <v>95892.5</v>
      </c>
      <c r="P7" s="11">
        <v>0</v>
      </c>
      <c r="Q7" s="11">
        <v>5250</v>
      </c>
      <c r="R7" s="11">
        <f>8110+17945</f>
        <v>26055</v>
      </c>
      <c r="S7" s="12" t="s">
        <v>60</v>
      </c>
    </row>
    <row r="8" spans="1:19" x14ac:dyDescent="0.3">
      <c r="A8" s="3">
        <v>45876</v>
      </c>
      <c r="B8" s="11">
        <f>46350+47030</f>
        <v>93380</v>
      </c>
      <c r="C8" s="11">
        <f t="shared" si="0"/>
        <v>84890.909090909088</v>
      </c>
      <c r="D8" s="11">
        <f t="shared" si="1"/>
        <v>8489.0909090909081</v>
      </c>
      <c r="E8" s="11">
        <f>8740+1945</f>
        <v>10685</v>
      </c>
      <c r="F8" s="11">
        <f t="shared" si="2"/>
        <v>9713.6363636363621</v>
      </c>
      <c r="G8" s="11">
        <f t="shared" si="3"/>
        <v>971.36363636363615</v>
      </c>
      <c r="H8" s="11">
        <v>880</v>
      </c>
      <c r="I8" s="11">
        <f t="shared" si="4"/>
        <v>733.33333333333337</v>
      </c>
      <c r="J8" s="11">
        <f t="shared" si="5"/>
        <v>146.66666666666669</v>
      </c>
      <c r="K8" s="11">
        <f>4440+960</f>
        <v>5400</v>
      </c>
      <c r="L8" s="11">
        <f t="shared" si="6"/>
        <v>4500</v>
      </c>
      <c r="M8" s="11">
        <f t="shared" si="7"/>
        <v>900</v>
      </c>
      <c r="N8" s="11">
        <f>2815+3140</f>
        <v>5955</v>
      </c>
      <c r="O8" s="11">
        <f>57595+46795</f>
        <v>104390</v>
      </c>
      <c r="P8" s="11">
        <v>0</v>
      </c>
      <c r="Q8" s="11">
        <v>0</v>
      </c>
      <c r="R8" s="11">
        <v>13140</v>
      </c>
      <c r="S8" s="12" t="s">
        <v>61</v>
      </c>
    </row>
    <row r="9" spans="1:19" x14ac:dyDescent="0.3">
      <c r="A9" s="3">
        <v>45877</v>
      </c>
      <c r="B9" s="11">
        <v>77540</v>
      </c>
      <c r="C9" s="11">
        <f t="shared" si="0"/>
        <v>70490.909090909088</v>
      </c>
      <c r="D9" s="11">
        <f t="shared" si="1"/>
        <v>7049.0909090909081</v>
      </c>
      <c r="E9" s="11">
        <v>9370</v>
      </c>
      <c r="F9" s="11">
        <f t="shared" si="2"/>
        <v>8518.181818181818</v>
      </c>
      <c r="G9" s="11">
        <f t="shared" si="3"/>
        <v>851.81818181818176</v>
      </c>
      <c r="H9" s="11">
        <v>0</v>
      </c>
      <c r="I9" s="11">
        <f t="shared" si="4"/>
        <v>0</v>
      </c>
      <c r="J9" s="11">
        <f t="shared" si="5"/>
        <v>0</v>
      </c>
      <c r="K9" s="11">
        <v>3960</v>
      </c>
      <c r="L9" s="11">
        <f t="shared" si="6"/>
        <v>3300</v>
      </c>
      <c r="M9" s="11">
        <f t="shared" si="7"/>
        <v>660</v>
      </c>
      <c r="N9" s="11">
        <v>6525</v>
      </c>
      <c r="O9" s="11">
        <v>84345</v>
      </c>
      <c r="P9" s="11">
        <v>0</v>
      </c>
      <c r="Q9" s="11">
        <v>0</v>
      </c>
      <c r="R9" s="11">
        <v>1790</v>
      </c>
      <c r="S9" s="12"/>
    </row>
    <row r="10" spans="1:19" x14ac:dyDescent="0.3">
      <c r="A10" s="3">
        <v>45878</v>
      </c>
      <c r="B10" s="11">
        <f>43092+118342.5</f>
        <v>161434.5</v>
      </c>
      <c r="C10" s="11">
        <f t="shared" si="0"/>
        <v>146758.63636363635</v>
      </c>
      <c r="D10" s="11">
        <f t="shared" si="1"/>
        <v>14675.863636363636</v>
      </c>
      <c r="E10" s="11">
        <f>2920+15040</f>
        <v>17960</v>
      </c>
      <c r="F10" s="11">
        <f t="shared" si="2"/>
        <v>16327.272727272726</v>
      </c>
      <c r="G10" s="11">
        <f t="shared" si="3"/>
        <v>1632.7272727272727</v>
      </c>
      <c r="H10" s="11">
        <v>950</v>
      </c>
      <c r="I10" s="11">
        <f t="shared" si="4"/>
        <v>791.66666666666674</v>
      </c>
      <c r="J10" s="11">
        <f t="shared" si="5"/>
        <v>158.33333333333337</v>
      </c>
      <c r="K10" s="11">
        <f>1440+7200</f>
        <v>8640</v>
      </c>
      <c r="L10" s="11">
        <f t="shared" si="6"/>
        <v>7200</v>
      </c>
      <c r="M10" s="11">
        <f t="shared" si="7"/>
        <v>1440</v>
      </c>
      <c r="N10" s="11">
        <f>6270+7685</f>
        <v>13955</v>
      </c>
      <c r="O10" s="11">
        <f>133847.5-4180+41182</f>
        <v>170849.5</v>
      </c>
      <c r="P10" s="11">
        <v>4180</v>
      </c>
      <c r="Q10" s="11">
        <v>0</v>
      </c>
      <c r="R10" s="11">
        <v>10335</v>
      </c>
      <c r="S10" s="12"/>
    </row>
    <row r="11" spans="1:19" x14ac:dyDescent="0.3">
      <c r="A11" s="3">
        <v>45879</v>
      </c>
      <c r="B11" s="11">
        <f>96955+199015.5</f>
        <v>295970.5</v>
      </c>
      <c r="C11" s="11">
        <f t="shared" si="0"/>
        <v>269064.09090909088</v>
      </c>
      <c r="D11" s="11">
        <f t="shared" si="1"/>
        <v>26906.409090909088</v>
      </c>
      <c r="E11" s="11">
        <f>8820+19728.5</f>
        <v>28548.5</v>
      </c>
      <c r="F11" s="11">
        <f t="shared" si="2"/>
        <v>25953.181818181816</v>
      </c>
      <c r="G11" s="11">
        <f t="shared" si="3"/>
        <v>2595.318181818182</v>
      </c>
      <c r="H11" s="11">
        <f>1170</f>
        <v>1170</v>
      </c>
      <c r="I11" s="11">
        <f t="shared" si="4"/>
        <v>975</v>
      </c>
      <c r="J11" s="11">
        <f t="shared" si="5"/>
        <v>195</v>
      </c>
      <c r="K11" s="11">
        <f>3600+5844</f>
        <v>9444</v>
      </c>
      <c r="L11" s="11">
        <f t="shared" si="6"/>
        <v>7870</v>
      </c>
      <c r="M11" s="11">
        <f t="shared" si="7"/>
        <v>1574</v>
      </c>
      <c r="N11" s="11">
        <f>6100+26850</f>
        <v>32950</v>
      </c>
      <c r="O11" s="11">
        <f>103275+194773</f>
        <v>298048</v>
      </c>
      <c r="P11" s="11">
        <v>4135</v>
      </c>
      <c r="Q11" s="11">
        <v>0</v>
      </c>
      <c r="R11" s="11">
        <v>0</v>
      </c>
      <c r="S11" s="12"/>
    </row>
    <row r="12" spans="1:19" x14ac:dyDescent="0.3">
      <c r="A12" s="3">
        <v>45881</v>
      </c>
      <c r="B12" s="11">
        <f>74255+21345</f>
        <v>95600</v>
      </c>
      <c r="C12" s="11">
        <f t="shared" si="0"/>
        <v>86909.090909090897</v>
      </c>
      <c r="D12" s="11">
        <f t="shared" si="1"/>
        <v>8690.9090909090901</v>
      </c>
      <c r="E12" s="11">
        <f>7980+2915</f>
        <v>10895</v>
      </c>
      <c r="F12" s="11">
        <f t="shared" si="2"/>
        <v>9904.545454545454</v>
      </c>
      <c r="G12" s="11">
        <f t="shared" si="3"/>
        <v>990.4545454545455</v>
      </c>
      <c r="H12" s="11">
        <f>500</f>
        <v>500</v>
      </c>
      <c r="I12" s="11">
        <f t="shared" si="4"/>
        <v>416.66666666666669</v>
      </c>
      <c r="J12" s="11">
        <f t="shared" si="5"/>
        <v>83.333333333333343</v>
      </c>
      <c r="K12" s="11">
        <f>4920+2160</f>
        <v>7080</v>
      </c>
      <c r="L12" s="11">
        <f t="shared" si="6"/>
        <v>5900</v>
      </c>
      <c r="M12" s="11">
        <f t="shared" si="7"/>
        <v>1180</v>
      </c>
      <c r="N12" s="11">
        <f>7655</f>
        <v>7655</v>
      </c>
      <c r="O12" s="11">
        <f>76345+26420</f>
        <v>102765</v>
      </c>
      <c r="P12" s="11">
        <v>3655</v>
      </c>
      <c r="Q12" s="11">
        <v>0</v>
      </c>
      <c r="R12" s="11">
        <v>0</v>
      </c>
      <c r="S12" s="12"/>
    </row>
    <row r="13" spans="1:19" x14ac:dyDescent="0.3">
      <c r="A13" s="3">
        <v>45882</v>
      </c>
      <c r="B13" s="11">
        <f>103935</f>
        <v>103935</v>
      </c>
      <c r="C13" s="11">
        <f t="shared" si="0"/>
        <v>94486.363636363632</v>
      </c>
      <c r="D13" s="11">
        <f t="shared" si="1"/>
        <v>9448.636363636364</v>
      </c>
      <c r="E13" s="11">
        <v>10665</v>
      </c>
      <c r="F13" s="11">
        <f t="shared" si="2"/>
        <v>9695.4545454545441</v>
      </c>
      <c r="G13" s="11">
        <f t="shared" si="3"/>
        <v>969.54545454545439</v>
      </c>
      <c r="H13" s="11">
        <v>950</v>
      </c>
      <c r="I13" s="11">
        <f t="shared" si="4"/>
        <v>791.66666666666674</v>
      </c>
      <c r="J13" s="11">
        <f t="shared" si="5"/>
        <v>158.33333333333337</v>
      </c>
      <c r="K13" s="11">
        <v>5880</v>
      </c>
      <c r="L13" s="11">
        <f t="shared" si="6"/>
        <v>4900</v>
      </c>
      <c r="M13" s="11">
        <f t="shared" si="7"/>
        <v>980</v>
      </c>
      <c r="N13" s="11">
        <v>16507.5</v>
      </c>
      <c r="O13" s="11">
        <v>104922.5</v>
      </c>
      <c r="P13" s="11">
        <v>0</v>
      </c>
      <c r="Q13" s="11">
        <v>0</v>
      </c>
      <c r="R13" s="11">
        <v>5950</v>
      </c>
      <c r="S13" s="12"/>
    </row>
    <row r="14" spans="1:19" x14ac:dyDescent="0.3">
      <c r="A14" s="3">
        <v>45883</v>
      </c>
      <c r="B14" s="11">
        <f>78112.5+39985</f>
        <v>118097.5</v>
      </c>
      <c r="C14" s="11">
        <f t="shared" si="0"/>
        <v>107361.36363636363</v>
      </c>
      <c r="D14" s="11">
        <f t="shared" si="1"/>
        <v>10736.136363636362</v>
      </c>
      <c r="E14" s="11">
        <f>6085+5355</f>
        <v>11440</v>
      </c>
      <c r="F14" s="11">
        <f t="shared" si="2"/>
        <v>10400</v>
      </c>
      <c r="G14" s="11">
        <f t="shared" si="3"/>
        <v>1040</v>
      </c>
      <c r="H14" s="11">
        <f>800</f>
        <v>800</v>
      </c>
      <c r="I14" s="11">
        <f t="shared" si="4"/>
        <v>666.66666666666674</v>
      </c>
      <c r="J14" s="11">
        <f t="shared" si="5"/>
        <v>133.33333333333337</v>
      </c>
      <c r="K14" s="11">
        <f>5160+1920</f>
        <v>7080</v>
      </c>
      <c r="L14" s="11">
        <f t="shared" si="6"/>
        <v>5900</v>
      </c>
      <c r="M14" s="11">
        <f t="shared" si="7"/>
        <v>1180</v>
      </c>
      <c r="N14" s="11">
        <f>6200+2190</f>
        <v>8390</v>
      </c>
      <c r="O14" s="11">
        <f>71947.5+47595-10985</f>
        <v>108557.5</v>
      </c>
      <c r="P14" s="11">
        <f>8460+12010</f>
        <v>20470</v>
      </c>
      <c r="Q14" s="11">
        <v>0</v>
      </c>
      <c r="R14" s="11">
        <v>10985</v>
      </c>
      <c r="S14" s="12"/>
    </row>
    <row r="15" spans="1:19" x14ac:dyDescent="0.3">
      <c r="A15" s="3">
        <v>45884</v>
      </c>
      <c r="B15" s="11">
        <f>76122.5+12040</f>
        <v>88162.5</v>
      </c>
      <c r="C15" s="11">
        <f t="shared" si="0"/>
        <v>80147.727272727265</v>
      </c>
      <c r="D15" s="11">
        <f t="shared" si="1"/>
        <v>8014.772727272727</v>
      </c>
      <c r="E15" s="11">
        <f>5652.75+1700</f>
        <v>7352.75</v>
      </c>
      <c r="F15" s="11">
        <f t="shared" si="2"/>
        <v>6684.3181818181811</v>
      </c>
      <c r="G15" s="11">
        <f t="shared" si="3"/>
        <v>668.43181818181813</v>
      </c>
      <c r="H15" s="11">
        <f>380</f>
        <v>380</v>
      </c>
      <c r="I15" s="11">
        <f t="shared" si="4"/>
        <v>316.66666666666669</v>
      </c>
      <c r="J15" s="11">
        <f t="shared" si="5"/>
        <v>63.333333333333343</v>
      </c>
      <c r="K15" s="11">
        <f>3084+960</f>
        <v>4044</v>
      </c>
      <c r="L15" s="11">
        <f t="shared" si="6"/>
        <v>3370</v>
      </c>
      <c r="M15" s="11">
        <f t="shared" si="7"/>
        <v>674</v>
      </c>
      <c r="N15" s="11">
        <f>140+5160</f>
        <v>5300</v>
      </c>
      <c r="O15" s="11">
        <f>81944.25+9920</f>
        <v>91864.25</v>
      </c>
      <c r="P15" s="11">
        <v>2775</v>
      </c>
      <c r="Q15" s="11">
        <v>0</v>
      </c>
      <c r="R15" s="11">
        <v>0</v>
      </c>
      <c r="S15" s="12"/>
    </row>
    <row r="16" spans="1:19" x14ac:dyDescent="0.3">
      <c r="A16" s="3">
        <v>45885</v>
      </c>
      <c r="B16" s="11">
        <f>103500+93335</f>
        <v>196835</v>
      </c>
      <c r="C16" s="11">
        <f t="shared" si="0"/>
        <v>178940.90909090909</v>
      </c>
      <c r="D16" s="11">
        <f t="shared" si="1"/>
        <v>17894.090909090908</v>
      </c>
      <c r="E16" s="11">
        <f>8645+8350</f>
        <v>16995</v>
      </c>
      <c r="F16" s="11">
        <f t="shared" si="2"/>
        <v>15449.999999999998</v>
      </c>
      <c r="G16" s="11">
        <f t="shared" si="3"/>
        <v>1544.9999999999998</v>
      </c>
      <c r="H16" s="11">
        <f>400</f>
        <v>400</v>
      </c>
      <c r="I16" s="11">
        <f t="shared" si="4"/>
        <v>333.33333333333337</v>
      </c>
      <c r="J16" s="11">
        <f t="shared" si="5"/>
        <v>66.666666666666686</v>
      </c>
      <c r="K16" s="11">
        <f>4560+4200</f>
        <v>8760</v>
      </c>
      <c r="L16" s="11">
        <f t="shared" si="6"/>
        <v>7300</v>
      </c>
      <c r="M16" s="11">
        <f t="shared" si="7"/>
        <v>1460</v>
      </c>
      <c r="N16" s="11">
        <f>4870+6135</f>
        <v>11005</v>
      </c>
      <c r="O16" s="11">
        <f>112035+98450</f>
        <v>210485</v>
      </c>
      <c r="P16" s="11">
        <v>1500</v>
      </c>
      <c r="Q16" s="11">
        <v>0</v>
      </c>
      <c r="R16" s="11">
        <v>0</v>
      </c>
      <c r="S16" s="12"/>
    </row>
    <row r="17" spans="1:19" x14ac:dyDescent="0.3">
      <c r="A17" s="3">
        <v>45886</v>
      </c>
      <c r="B17" s="11">
        <f>149952.5+86815</f>
        <v>236767.5</v>
      </c>
      <c r="C17" s="11">
        <f t="shared" si="0"/>
        <v>215243.18181818179</v>
      </c>
      <c r="D17" s="11">
        <f t="shared" si="1"/>
        <v>21524.31818181818</v>
      </c>
      <c r="E17" s="11">
        <f>12335+10395</f>
        <v>22730</v>
      </c>
      <c r="F17" s="11">
        <f t="shared" si="2"/>
        <v>20663.63636363636</v>
      </c>
      <c r="G17" s="11">
        <f t="shared" si="3"/>
        <v>2066.363636363636</v>
      </c>
      <c r="H17" s="11">
        <f>795</f>
        <v>795</v>
      </c>
      <c r="I17" s="11">
        <f t="shared" si="4"/>
        <v>662.5</v>
      </c>
      <c r="J17" s="11">
        <f t="shared" si="5"/>
        <v>132.5</v>
      </c>
      <c r="K17" s="11">
        <f>4200+3120</f>
        <v>7320</v>
      </c>
      <c r="L17" s="11">
        <f t="shared" si="6"/>
        <v>6100</v>
      </c>
      <c r="M17" s="11">
        <f t="shared" si="7"/>
        <v>1220</v>
      </c>
      <c r="N17" s="11">
        <f>9172.5+8500</f>
        <v>17672.5</v>
      </c>
      <c r="O17" s="11">
        <f>149010+91830</f>
        <v>240840</v>
      </c>
      <c r="P17" s="11">
        <v>9100</v>
      </c>
      <c r="Q17" s="11">
        <v>0</v>
      </c>
      <c r="R17" s="11">
        <v>0</v>
      </c>
      <c r="S17" s="12"/>
    </row>
    <row r="18" spans="1:19" x14ac:dyDescent="0.3">
      <c r="A18" s="3">
        <v>45888</v>
      </c>
      <c r="B18" s="11">
        <f>66345+16985</f>
        <v>83330</v>
      </c>
      <c r="C18" s="11">
        <f t="shared" si="0"/>
        <v>75754.545454545441</v>
      </c>
      <c r="D18" s="11">
        <f t="shared" si="1"/>
        <v>7575.4545454545432</v>
      </c>
      <c r="E18" s="11">
        <f>5320+4540</f>
        <v>9860</v>
      </c>
      <c r="F18" s="11">
        <f t="shared" si="2"/>
        <v>8963.6363636363621</v>
      </c>
      <c r="G18" s="11">
        <f t="shared" si="3"/>
        <v>896.36363636363615</v>
      </c>
      <c r="H18" s="11">
        <f>210</f>
        <v>210</v>
      </c>
      <c r="I18" s="11">
        <f t="shared" si="4"/>
        <v>175</v>
      </c>
      <c r="J18" s="11">
        <f t="shared" si="5"/>
        <v>35</v>
      </c>
      <c r="K18" s="11">
        <f>3840+720</f>
        <v>4560</v>
      </c>
      <c r="L18" s="11">
        <f t="shared" si="6"/>
        <v>3800</v>
      </c>
      <c r="M18" s="11">
        <f t="shared" si="7"/>
        <v>760</v>
      </c>
      <c r="N18" s="11">
        <f>5655</f>
        <v>5655</v>
      </c>
      <c r="O18" s="11">
        <f>68590+16800</f>
        <v>85390</v>
      </c>
      <c r="P18" s="11">
        <v>6915</v>
      </c>
      <c r="Q18" s="11">
        <v>0</v>
      </c>
      <c r="R18" s="11">
        <v>4395</v>
      </c>
      <c r="S18" s="12" t="s">
        <v>62</v>
      </c>
    </row>
    <row r="19" spans="1:19" x14ac:dyDescent="0.3">
      <c r="A19" s="3">
        <v>45889</v>
      </c>
      <c r="B19" s="11">
        <v>79951</v>
      </c>
      <c r="C19" s="11">
        <f t="shared" si="0"/>
        <v>72682.727272727265</v>
      </c>
      <c r="D19" s="11">
        <f t="shared" si="1"/>
        <v>7268.272727272727</v>
      </c>
      <c r="E19" s="11">
        <v>7090</v>
      </c>
      <c r="F19" s="11">
        <f t="shared" si="2"/>
        <v>6445.454545454545</v>
      </c>
      <c r="G19" s="11">
        <f t="shared" si="3"/>
        <v>644.5454545454545</v>
      </c>
      <c r="H19" s="11">
        <v>0</v>
      </c>
      <c r="I19" s="11">
        <f t="shared" si="4"/>
        <v>0</v>
      </c>
      <c r="J19" s="11">
        <f t="shared" si="5"/>
        <v>0</v>
      </c>
      <c r="K19" s="11">
        <v>5472</v>
      </c>
      <c r="L19" s="11">
        <f t="shared" si="6"/>
        <v>4560</v>
      </c>
      <c r="M19" s="11">
        <f t="shared" si="7"/>
        <v>912</v>
      </c>
      <c r="N19" s="11">
        <v>6370</v>
      </c>
      <c r="O19" s="11">
        <v>83913</v>
      </c>
      <c r="P19" s="11">
        <v>2230</v>
      </c>
      <c r="Q19" s="11">
        <v>0</v>
      </c>
      <c r="R19" s="11">
        <v>0</v>
      </c>
      <c r="S19" s="12" t="s">
        <v>63</v>
      </c>
    </row>
    <row r="20" spans="1:19" x14ac:dyDescent="0.3">
      <c r="A20" s="3">
        <v>45890</v>
      </c>
      <c r="B20" s="11">
        <f>87560+22803</f>
        <v>110363</v>
      </c>
      <c r="C20" s="11">
        <f t="shared" si="0"/>
        <v>100329.99999999999</v>
      </c>
      <c r="D20" s="11">
        <f t="shared" si="1"/>
        <v>10032.999999999998</v>
      </c>
      <c r="E20" s="11">
        <f>9385+4149</f>
        <v>13534</v>
      </c>
      <c r="F20" s="11">
        <f t="shared" si="2"/>
        <v>12303.636363636362</v>
      </c>
      <c r="G20" s="11">
        <f t="shared" si="3"/>
        <v>1230.3636363636363</v>
      </c>
      <c r="H20" s="11">
        <f>400+800</f>
        <v>1200</v>
      </c>
      <c r="I20" s="11">
        <f t="shared" si="4"/>
        <v>1000</v>
      </c>
      <c r="J20" s="11">
        <f t="shared" si="5"/>
        <v>200</v>
      </c>
      <c r="K20" s="11">
        <f>5160+1920</f>
        <v>7080</v>
      </c>
      <c r="L20" s="11">
        <f t="shared" si="6"/>
        <v>5900</v>
      </c>
      <c r="M20" s="11">
        <f t="shared" si="7"/>
        <v>1180</v>
      </c>
      <c r="N20" s="11">
        <f>6360</f>
        <v>6360</v>
      </c>
      <c r="O20" s="11">
        <f>94085+29672</f>
        <v>123757</v>
      </c>
      <c r="P20" s="11">
        <v>2060</v>
      </c>
      <c r="Q20" s="11">
        <v>0</v>
      </c>
      <c r="R20" s="11">
        <v>0</v>
      </c>
      <c r="S20" s="12"/>
    </row>
    <row r="21" spans="1:19" x14ac:dyDescent="0.3">
      <c r="A21" s="3">
        <v>45891</v>
      </c>
      <c r="B21" s="11">
        <f>87880+39665</f>
        <v>127545</v>
      </c>
      <c r="C21" s="11">
        <f t="shared" si="0"/>
        <v>115949.99999999999</v>
      </c>
      <c r="D21" s="11">
        <f t="shared" si="1"/>
        <v>11594.999999999998</v>
      </c>
      <c r="E21" s="11">
        <f>10910+4205</f>
        <v>15115</v>
      </c>
      <c r="F21" s="11">
        <f t="shared" si="2"/>
        <v>13740.90909090909</v>
      </c>
      <c r="G21" s="11">
        <f t="shared" si="3"/>
        <v>1374.090909090909</v>
      </c>
      <c r="H21" s="11">
        <f>800+570</f>
        <v>1370</v>
      </c>
      <c r="I21" s="11">
        <f t="shared" si="4"/>
        <v>1141.6666666666667</v>
      </c>
      <c r="J21" s="11">
        <f t="shared" si="5"/>
        <v>228.33333333333337</v>
      </c>
      <c r="K21" s="11">
        <f>4440+3240</f>
        <v>7680</v>
      </c>
      <c r="L21" s="11">
        <f t="shared" si="6"/>
        <v>6400</v>
      </c>
      <c r="M21" s="11">
        <f t="shared" si="7"/>
        <v>1280</v>
      </c>
      <c r="N21" s="11">
        <f>15715+3785</f>
        <v>19500</v>
      </c>
      <c r="O21" s="11">
        <f>88315+43895</f>
        <v>132210</v>
      </c>
      <c r="P21" s="11">
        <v>0</v>
      </c>
      <c r="Q21" s="11">
        <v>0</v>
      </c>
      <c r="R21" s="11">
        <v>11145</v>
      </c>
      <c r="S21" s="12"/>
    </row>
    <row r="22" spans="1:19" x14ac:dyDescent="0.3">
      <c r="A22" s="3">
        <v>45892</v>
      </c>
      <c r="B22" s="11">
        <f>75519+124505</f>
        <v>200024</v>
      </c>
      <c r="C22" s="11">
        <f t="shared" si="0"/>
        <v>181839.99999999997</v>
      </c>
      <c r="D22" s="11">
        <f t="shared" si="1"/>
        <v>18183.999999999996</v>
      </c>
      <c r="E22" s="11">
        <f>5690+12040</f>
        <v>17730</v>
      </c>
      <c r="F22" s="11">
        <f t="shared" si="2"/>
        <v>16118.181818181816</v>
      </c>
      <c r="G22" s="11">
        <f t="shared" si="3"/>
        <v>1611.8181818181818</v>
      </c>
      <c r="H22" s="11">
        <f>1000</f>
        <v>1000</v>
      </c>
      <c r="I22" s="11">
        <f t="shared" si="4"/>
        <v>833.33333333333337</v>
      </c>
      <c r="J22" s="11">
        <f t="shared" si="5"/>
        <v>166.66666666666669</v>
      </c>
      <c r="K22" s="11">
        <f>5880+3720</f>
        <v>9600</v>
      </c>
      <c r="L22" s="11">
        <f t="shared" si="6"/>
        <v>8000</v>
      </c>
      <c r="M22" s="11">
        <f t="shared" si="7"/>
        <v>1600</v>
      </c>
      <c r="N22" s="11">
        <f>543+10380</f>
        <v>10923</v>
      </c>
      <c r="O22" s="11">
        <f>87546+129885</f>
        <v>217431</v>
      </c>
      <c r="P22" s="11">
        <v>0</v>
      </c>
      <c r="Q22" s="11">
        <v>8288</v>
      </c>
      <c r="R22" s="11">
        <v>24189</v>
      </c>
      <c r="S22" s="12"/>
    </row>
    <row r="23" spans="1:19" x14ac:dyDescent="0.3">
      <c r="A23" s="3">
        <v>45893</v>
      </c>
      <c r="B23" s="11">
        <f>56582.25+159321.5</f>
        <v>215903.75</v>
      </c>
      <c r="C23" s="11">
        <f t="shared" si="0"/>
        <v>196276.13636363635</v>
      </c>
      <c r="D23" s="11">
        <f t="shared" si="1"/>
        <v>19627.613636363636</v>
      </c>
      <c r="E23" s="11">
        <f>13915+3972</f>
        <v>17887</v>
      </c>
      <c r="F23" s="11">
        <f t="shared" si="2"/>
        <v>16260.90909090909</v>
      </c>
      <c r="G23" s="11">
        <f t="shared" si="3"/>
        <v>1626.090909090909</v>
      </c>
      <c r="H23" s="11">
        <f>500</f>
        <v>500</v>
      </c>
      <c r="I23" s="11">
        <f t="shared" si="4"/>
        <v>416.66666666666669</v>
      </c>
      <c r="J23" s="11">
        <f t="shared" si="5"/>
        <v>83.333333333333343</v>
      </c>
      <c r="K23" s="11">
        <f>4080+1644</f>
        <v>5724</v>
      </c>
      <c r="L23" s="11">
        <f t="shared" si="6"/>
        <v>4770</v>
      </c>
      <c r="M23" s="11">
        <f t="shared" si="7"/>
        <v>954</v>
      </c>
      <c r="N23" s="11">
        <v>12461.5</v>
      </c>
      <c r="O23" s="11">
        <f>155800-13525+62198.25</f>
        <v>204473.25</v>
      </c>
      <c r="P23" s="11">
        <v>23080</v>
      </c>
      <c r="Q23" s="11">
        <v>0</v>
      </c>
      <c r="R23" s="11">
        <v>13525</v>
      </c>
      <c r="S23" s="12" t="s">
        <v>64</v>
      </c>
    </row>
    <row r="24" spans="1:19" x14ac:dyDescent="0.3">
      <c r="A24" s="3">
        <v>45895</v>
      </c>
      <c r="B24" s="11">
        <f>19195+89160</f>
        <v>108355</v>
      </c>
      <c r="C24" s="11">
        <f t="shared" si="0"/>
        <v>98504.545454545441</v>
      </c>
      <c r="D24" s="11">
        <f t="shared" si="1"/>
        <v>9850.4545454545441</v>
      </c>
      <c r="E24" s="11">
        <f>2670+8215</f>
        <v>10885</v>
      </c>
      <c r="F24" s="11">
        <f t="shared" si="2"/>
        <v>9895.4545454545441</v>
      </c>
      <c r="G24" s="11">
        <f t="shared" si="3"/>
        <v>989.54545454545439</v>
      </c>
      <c r="H24" s="11">
        <f>400</f>
        <v>400</v>
      </c>
      <c r="I24" s="11">
        <f t="shared" si="4"/>
        <v>333.33333333333337</v>
      </c>
      <c r="J24" s="11">
        <f t="shared" si="5"/>
        <v>66.666666666666686</v>
      </c>
      <c r="K24" s="11">
        <f>1440+5760</f>
        <v>7200</v>
      </c>
      <c r="L24" s="11">
        <f t="shared" si="6"/>
        <v>6000</v>
      </c>
      <c r="M24" s="11">
        <f t="shared" si="7"/>
        <v>1200</v>
      </c>
      <c r="N24" s="11">
        <f>1130+8105</f>
        <v>9235</v>
      </c>
      <c r="O24" s="11">
        <f>22175+95430-9485</f>
        <v>108120</v>
      </c>
      <c r="P24" s="11">
        <v>9485</v>
      </c>
      <c r="Q24" s="11">
        <v>0</v>
      </c>
      <c r="R24" s="11">
        <v>37280</v>
      </c>
      <c r="S24" s="12"/>
    </row>
    <row r="25" spans="1:19" x14ac:dyDescent="0.3">
      <c r="A25" s="3">
        <v>45896</v>
      </c>
      <c r="B25" s="11">
        <f>85470+32390</f>
        <v>117860</v>
      </c>
      <c r="C25" s="11">
        <f t="shared" si="0"/>
        <v>107145.45454545453</v>
      </c>
      <c r="D25" s="11">
        <f t="shared" si="1"/>
        <v>10714.545454545454</v>
      </c>
      <c r="E25" s="11">
        <f>10350+1290</f>
        <v>11640</v>
      </c>
      <c r="F25" s="11">
        <f t="shared" si="2"/>
        <v>10581.81818181818</v>
      </c>
      <c r="G25" s="11">
        <f t="shared" si="3"/>
        <v>1058.181818181818</v>
      </c>
      <c r="H25" s="11">
        <f>200+1000</f>
        <v>1200</v>
      </c>
      <c r="I25" s="11">
        <f t="shared" si="4"/>
        <v>1000</v>
      </c>
      <c r="J25" s="11">
        <f t="shared" si="5"/>
        <v>200</v>
      </c>
      <c r="K25" s="11">
        <f>3840+3000</f>
        <v>6840</v>
      </c>
      <c r="L25" s="11">
        <f t="shared" si="6"/>
        <v>5700</v>
      </c>
      <c r="M25" s="11">
        <f t="shared" si="7"/>
        <v>1140</v>
      </c>
      <c r="N25" s="11">
        <f>5240+2315</f>
        <v>7555</v>
      </c>
      <c r="O25" s="11">
        <f>94620+32555</f>
        <v>127175</v>
      </c>
      <c r="P25" s="11">
        <v>2810</v>
      </c>
      <c r="Q25" s="11">
        <v>0</v>
      </c>
      <c r="R25" s="11">
        <f>4255</f>
        <v>4255</v>
      </c>
      <c r="S25" s="12"/>
    </row>
    <row r="26" spans="1:19" x14ac:dyDescent="0.3">
      <c r="A26" s="3">
        <v>45897</v>
      </c>
      <c r="B26" s="16">
        <f>20395+87740</f>
        <v>108135</v>
      </c>
      <c r="C26" s="11">
        <f t="shared" si="0"/>
        <v>98304.545454545441</v>
      </c>
      <c r="D26" s="11">
        <f t="shared" si="1"/>
        <v>9830.4545454545441</v>
      </c>
      <c r="E26" s="16">
        <f>2405+8960</f>
        <v>11365</v>
      </c>
      <c r="F26" s="11">
        <f t="shared" si="2"/>
        <v>10331.81818181818</v>
      </c>
      <c r="G26" s="11">
        <f t="shared" si="3"/>
        <v>1033.181818181818</v>
      </c>
      <c r="H26" s="16">
        <f>900</f>
        <v>900</v>
      </c>
      <c r="I26" s="11">
        <f t="shared" si="4"/>
        <v>750</v>
      </c>
      <c r="J26" s="11">
        <f t="shared" si="5"/>
        <v>150</v>
      </c>
      <c r="K26" s="16">
        <f>1800+5040</f>
        <v>6840</v>
      </c>
      <c r="L26" s="11">
        <f t="shared" si="6"/>
        <v>5700</v>
      </c>
      <c r="M26" s="11">
        <f t="shared" si="7"/>
        <v>1140</v>
      </c>
      <c r="N26" s="16">
        <f>4854</f>
        <v>4854</v>
      </c>
      <c r="O26" s="16">
        <f>24600+97786-3450</f>
        <v>118936</v>
      </c>
      <c r="P26" s="16">
        <v>3450</v>
      </c>
      <c r="Q26" s="11"/>
      <c r="R26" s="11"/>
      <c r="S26" s="12"/>
    </row>
    <row r="27" spans="1:19" x14ac:dyDescent="0.3">
      <c r="A27" s="3">
        <v>45898</v>
      </c>
      <c r="B27" s="16">
        <f>32910+75395</f>
        <v>108305</v>
      </c>
      <c r="C27" s="11">
        <f t="shared" si="0"/>
        <v>98459.090909090897</v>
      </c>
      <c r="D27" s="11">
        <f t="shared" si="1"/>
        <v>9845.9090909090901</v>
      </c>
      <c r="E27" s="16">
        <f>2800+7050</f>
        <v>9850</v>
      </c>
      <c r="F27" s="11">
        <f t="shared" si="2"/>
        <v>8954.545454545454</v>
      </c>
      <c r="G27" s="11">
        <f t="shared" si="3"/>
        <v>895.4545454545455</v>
      </c>
      <c r="H27" s="16">
        <f>275</f>
        <v>275</v>
      </c>
      <c r="I27" s="11">
        <f t="shared" si="4"/>
        <v>229.16666666666669</v>
      </c>
      <c r="J27" s="11">
        <f t="shared" si="5"/>
        <v>45.833333333333343</v>
      </c>
      <c r="K27" s="16">
        <f>2880+3840</f>
        <v>6720</v>
      </c>
      <c r="L27" s="11">
        <f t="shared" si="6"/>
        <v>5600</v>
      </c>
      <c r="M27" s="11">
        <f t="shared" si="7"/>
        <v>1120</v>
      </c>
      <c r="N27" s="16">
        <f>2315+7455</f>
        <v>9770</v>
      </c>
      <c r="O27" s="16">
        <f>36550+78830-4880</f>
        <v>110500</v>
      </c>
      <c r="P27" s="16">
        <v>4880</v>
      </c>
      <c r="Q27" s="11">
        <v>2502</v>
      </c>
      <c r="R27" s="11">
        <f>7513+64142.5</f>
        <v>71655.5</v>
      </c>
      <c r="S27" s="12"/>
    </row>
    <row r="28" spans="1:19" x14ac:dyDescent="0.3">
      <c r="A28" s="3">
        <v>45899</v>
      </c>
      <c r="B28" s="16">
        <f>90205+107121</f>
        <v>197326</v>
      </c>
      <c r="C28" s="11">
        <f t="shared" si="0"/>
        <v>179387.27272727271</v>
      </c>
      <c r="D28" s="11">
        <f t="shared" si="1"/>
        <v>17938.727272727272</v>
      </c>
      <c r="E28" s="16">
        <f>8420+10702.25</f>
        <v>19122.25</v>
      </c>
      <c r="F28" s="11">
        <f t="shared" si="2"/>
        <v>17383.863636363636</v>
      </c>
      <c r="G28" s="11">
        <f t="shared" si="3"/>
        <v>1738.3863636363635</v>
      </c>
      <c r="H28" s="16">
        <f>565+1100</f>
        <v>1665</v>
      </c>
      <c r="I28" s="11">
        <f t="shared" si="4"/>
        <v>1387.5</v>
      </c>
      <c r="J28" s="11">
        <f t="shared" si="5"/>
        <v>277.5</v>
      </c>
      <c r="K28" s="16">
        <f>2400+4800</f>
        <v>7200</v>
      </c>
      <c r="L28" s="11">
        <f t="shared" si="6"/>
        <v>6000</v>
      </c>
      <c r="M28" s="11">
        <f t="shared" si="7"/>
        <v>1200</v>
      </c>
      <c r="N28" s="16">
        <f>4245+10535</f>
        <v>14780</v>
      </c>
      <c r="O28" s="16">
        <f>97345-2540+113188.25-7990</f>
        <v>200003.25</v>
      </c>
      <c r="P28" s="16">
        <f>2540+7990</f>
        <v>10530</v>
      </c>
      <c r="Q28" s="11">
        <v>0</v>
      </c>
      <c r="R28" s="11">
        <v>2690</v>
      </c>
      <c r="S28" s="12"/>
    </row>
    <row r="29" spans="1:19" x14ac:dyDescent="0.3">
      <c r="A29" s="3">
        <v>45900</v>
      </c>
      <c r="B29" s="16">
        <f>111540+130409.75</f>
        <v>241949.75</v>
      </c>
      <c r="C29" s="11">
        <f t="shared" si="0"/>
        <v>219954.31818181818</v>
      </c>
      <c r="D29" s="11">
        <f t="shared" si="1"/>
        <v>21995.431818181816</v>
      </c>
      <c r="E29" s="16">
        <f>10645+13055</f>
        <v>23700</v>
      </c>
      <c r="F29" s="11">
        <f t="shared" si="2"/>
        <v>21545.454545454544</v>
      </c>
      <c r="G29" s="11">
        <f t="shared" si="3"/>
        <v>2154.5454545454545</v>
      </c>
      <c r="H29" s="11">
        <f>0</f>
        <v>0</v>
      </c>
      <c r="I29" s="11">
        <f t="shared" si="4"/>
        <v>0</v>
      </c>
      <c r="J29" s="11">
        <f t="shared" si="5"/>
        <v>0</v>
      </c>
      <c r="K29" s="16">
        <f>1680+3240</f>
        <v>4920</v>
      </c>
      <c r="L29" s="11">
        <f t="shared" si="6"/>
        <v>4100</v>
      </c>
      <c r="M29" s="11">
        <f t="shared" si="7"/>
        <v>820</v>
      </c>
      <c r="N29" s="16">
        <f>2325+6465</f>
        <v>8790</v>
      </c>
      <c r="O29" s="16">
        <f>121540-11160+140239.75</f>
        <v>250619.75</v>
      </c>
      <c r="P29" s="16">
        <v>11160</v>
      </c>
      <c r="Q29" s="11">
        <v>0</v>
      </c>
      <c r="R29" s="11">
        <v>10780</v>
      </c>
      <c r="S29" s="12"/>
    </row>
    <row r="30" spans="1:19" ht="15.6" x14ac:dyDescent="0.3">
      <c r="B30" s="20">
        <f>SUM(B3:B29)</f>
        <v>3936403</v>
      </c>
      <c r="C30" s="20"/>
      <c r="D30" s="20"/>
      <c r="E30" s="20">
        <f>SUM(E3:E29)</f>
        <v>379308.5</v>
      </c>
      <c r="F30" s="20"/>
      <c r="G30" s="20"/>
      <c r="H30" s="20">
        <f>SUM(H3:H29)</f>
        <v>20605</v>
      </c>
      <c r="I30" s="20"/>
      <c r="J30" s="20"/>
      <c r="K30" s="20">
        <f>SUM(K3:K29)</f>
        <v>175908</v>
      </c>
      <c r="L30" s="20"/>
      <c r="M30" s="20"/>
      <c r="N30" s="20">
        <f>SUM(N3:N29)</f>
        <v>302247.5</v>
      </c>
      <c r="O30" s="20">
        <f>SUM(O3:O29)</f>
        <v>4059441</v>
      </c>
      <c r="P30" s="20">
        <f>SUM(P3:P29)</f>
        <v>150536</v>
      </c>
      <c r="Q30" s="20">
        <f>SUM(Q3:Q29)</f>
        <v>16040</v>
      </c>
      <c r="R30" s="20">
        <f>SUM(R3:R29)</f>
        <v>299224.5</v>
      </c>
      <c r="S30" s="21"/>
    </row>
    <row r="32" spans="1:19" x14ac:dyDescent="0.3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</row>
    <row r="34" spans="1:14" x14ac:dyDescent="0.3">
      <c r="B34" s="18"/>
      <c r="E34" s="18"/>
      <c r="H34" s="18"/>
      <c r="K34" s="18"/>
      <c r="N34" s="18"/>
    </row>
    <row r="40" spans="1:14" x14ac:dyDescent="0.3">
      <c r="B40" s="20"/>
      <c r="C40" s="20"/>
      <c r="D40" s="20"/>
      <c r="E40" s="20"/>
      <c r="F40" s="20" t="s">
        <v>69</v>
      </c>
      <c r="G40" s="20" t="s">
        <v>70</v>
      </c>
      <c r="H40" s="20" t="s">
        <v>71</v>
      </c>
      <c r="I40" s="20"/>
      <c r="J40" s="20"/>
      <c r="K40" s="20"/>
      <c r="L40" s="20"/>
      <c r="M40" s="20"/>
    </row>
    <row r="41" spans="1:14" x14ac:dyDescent="0.3">
      <c r="A41" s="4" t="s">
        <v>72</v>
      </c>
      <c r="B41" s="18">
        <v>1</v>
      </c>
      <c r="C41">
        <v>2</v>
      </c>
      <c r="D41" t="s">
        <v>73</v>
      </c>
      <c r="E41" s="18"/>
      <c r="H41" s="18"/>
      <c r="I41" s="51" t="s">
        <v>74</v>
      </c>
      <c r="K41" s="18"/>
    </row>
    <row r="42" spans="1:14" x14ac:dyDescent="0.3">
      <c r="A42" s="52">
        <v>0.1</v>
      </c>
      <c r="B42" s="18">
        <v>2942173</v>
      </c>
      <c r="C42" s="18">
        <v>1373538.5</v>
      </c>
      <c r="D42" s="18">
        <f>SUM(B42:C42)</f>
        <v>4315711.5</v>
      </c>
      <c r="F42" s="18">
        <f>B30+E30</f>
        <v>4315711.5</v>
      </c>
      <c r="G42" s="18">
        <f>D42-F42</f>
        <v>0</v>
      </c>
      <c r="H42" s="18">
        <v>4200444.54</v>
      </c>
      <c r="I42" s="18">
        <f>H42*10/100</f>
        <v>420044.45399999997</v>
      </c>
    </row>
    <row r="43" spans="1:14" x14ac:dyDescent="0.3">
      <c r="A43" s="52">
        <v>0.2</v>
      </c>
      <c r="B43" s="18">
        <v>136545</v>
      </c>
      <c r="C43" s="18">
        <v>59968</v>
      </c>
      <c r="D43" s="18">
        <f t="shared" ref="D43:D49" si="8">SUM(B43:C43)</f>
        <v>196513</v>
      </c>
      <c r="E43" s="18"/>
      <c r="F43" s="18">
        <f>H30+K30</f>
        <v>196513</v>
      </c>
      <c r="G43" s="18">
        <f t="shared" ref="G43:G49" si="9">D43-F43</f>
        <v>0</v>
      </c>
      <c r="H43" s="18">
        <v>183566.68</v>
      </c>
      <c r="I43" s="18">
        <f>H43*20/100</f>
        <v>36713.335999999996</v>
      </c>
      <c r="K43" s="18"/>
    </row>
    <row r="44" spans="1:14" x14ac:dyDescent="0.3">
      <c r="A44" s="53" t="s">
        <v>73</v>
      </c>
      <c r="B44" s="20">
        <f>SUM(B42:B43)</f>
        <v>3078718</v>
      </c>
      <c r="C44" s="20">
        <f>SUM(C42:C43)</f>
        <v>1433506.5</v>
      </c>
      <c r="D44" s="20">
        <f t="shared" si="8"/>
        <v>4512224.5</v>
      </c>
      <c r="E44" s="18"/>
      <c r="F44" s="20">
        <f>SUM(F42:F43)</f>
        <v>4512224.5</v>
      </c>
      <c r="G44" s="18">
        <f t="shared" si="9"/>
        <v>0</v>
      </c>
      <c r="H44" s="18">
        <f>SUM(H42:H43)</f>
        <v>4384011.22</v>
      </c>
      <c r="I44" s="18">
        <f>SUM(I42:I43)</f>
        <v>456757.79</v>
      </c>
      <c r="J44" s="18">
        <f>H44+I44</f>
        <v>4840769.01</v>
      </c>
      <c r="K44" s="18" t="s">
        <v>75</v>
      </c>
    </row>
    <row r="45" spans="1:14" x14ac:dyDescent="0.3">
      <c r="A45" s="4" t="s">
        <v>76</v>
      </c>
      <c r="B45" s="18">
        <v>223972.5</v>
      </c>
      <c r="C45" s="18">
        <v>94315</v>
      </c>
      <c r="D45" s="18">
        <f t="shared" si="8"/>
        <v>318287.5</v>
      </c>
      <c r="F45" s="18">
        <f>N30+Q30</f>
        <v>318287.5</v>
      </c>
      <c r="G45" s="18">
        <f t="shared" si="9"/>
        <v>0</v>
      </c>
      <c r="H45" s="18"/>
      <c r="J45" s="18">
        <f>F44</f>
        <v>4512224.5</v>
      </c>
      <c r="K45" t="s">
        <v>77</v>
      </c>
    </row>
    <row r="46" spans="1:14" x14ac:dyDescent="0.3">
      <c r="A46" s="4" t="s">
        <v>78</v>
      </c>
      <c r="B46" s="18">
        <v>3116215</v>
      </c>
      <c r="C46" s="18">
        <v>1392986.5</v>
      </c>
      <c r="D46" s="18">
        <f t="shared" si="8"/>
        <v>4509201.5</v>
      </c>
      <c r="F46" s="18">
        <f>O30+P30+R30</f>
        <v>4509201.5</v>
      </c>
      <c r="G46" s="18">
        <f t="shared" si="9"/>
        <v>0</v>
      </c>
      <c r="H46" s="18"/>
      <c r="J46" s="18">
        <f>Q30+R30</f>
        <v>315264.5</v>
      </c>
      <c r="K46" t="s">
        <v>79</v>
      </c>
    </row>
    <row r="47" spans="1:14" x14ac:dyDescent="0.3">
      <c r="A47" s="53" t="s">
        <v>73</v>
      </c>
      <c r="B47" s="20">
        <f>SUM(B45:B46)</f>
        <v>3340187.5</v>
      </c>
      <c r="C47" s="20">
        <f>SUM(C45:C46)</f>
        <v>1487301.5</v>
      </c>
      <c r="D47" s="20">
        <f t="shared" si="8"/>
        <v>4827489</v>
      </c>
      <c r="E47" s="20"/>
      <c r="F47" s="20">
        <f>SUM(F45:F46)</f>
        <v>4827489</v>
      </c>
      <c r="G47" s="18">
        <f t="shared" si="9"/>
        <v>0</v>
      </c>
      <c r="H47" s="18"/>
      <c r="J47" s="18">
        <f>J44-J45-J46</f>
        <v>13280.009999999776</v>
      </c>
    </row>
    <row r="48" spans="1:14" x14ac:dyDescent="0.3">
      <c r="A48" s="54" t="s">
        <v>80</v>
      </c>
      <c r="B48" s="55">
        <f>B47-B44</f>
        <v>261469.5</v>
      </c>
      <c r="C48" s="55">
        <f t="shared" ref="C48:D48" si="10">C47-C44</f>
        <v>53795</v>
      </c>
      <c r="D48" s="55">
        <f t="shared" si="10"/>
        <v>315264.5</v>
      </c>
      <c r="E48" s="23"/>
      <c r="G48" s="18"/>
      <c r="H48" s="18"/>
      <c r="J48" s="18">
        <v>13280</v>
      </c>
      <c r="K48" t="s">
        <v>81</v>
      </c>
    </row>
    <row r="49" spans="1:11" x14ac:dyDescent="0.3">
      <c r="A49" s="56" t="s">
        <v>82</v>
      </c>
      <c r="B49" s="57">
        <v>261469.5</v>
      </c>
      <c r="C49" s="57">
        <v>53795</v>
      </c>
      <c r="D49" s="57">
        <f t="shared" si="8"/>
        <v>315264.5</v>
      </c>
      <c r="E49" s="23"/>
      <c r="F49" s="20">
        <f>Q30+R30</f>
        <v>315264.5</v>
      </c>
      <c r="G49" s="18">
        <f t="shared" si="9"/>
        <v>0</v>
      </c>
      <c r="H49" s="18"/>
      <c r="J49" s="20">
        <f>J47-J48</f>
        <v>9.9999997764825821E-3</v>
      </c>
      <c r="K49" s="58" t="s">
        <v>83</v>
      </c>
    </row>
  </sheetData>
  <mergeCells count="1">
    <mergeCell ref="Q1: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13</vt:i4>
      </vt:variant>
    </vt:vector>
  </HeadingPairs>
  <TitlesOfParts>
    <vt:vector size="13" baseType="lpstr">
      <vt:lpstr>OCAK</vt:lpstr>
      <vt:lpstr>ŞUBAT</vt:lpstr>
      <vt:lpstr>MART</vt:lpstr>
      <vt:lpstr>NİSAN</vt:lpstr>
      <vt:lpstr>Sayfa1</vt:lpstr>
      <vt:lpstr>MAYIS</vt:lpstr>
      <vt:lpstr>HAZİRAN</vt:lpstr>
      <vt:lpstr>TEMMUZ</vt:lpstr>
      <vt:lpstr>AĞUSTOS</vt:lpstr>
      <vt:lpstr>EYLÜL</vt:lpstr>
      <vt:lpstr>EKİM</vt:lpstr>
      <vt:lpstr>KASIM</vt:lpstr>
      <vt:lpstr>ARALIK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2025-05-01T10:05:30Z</cp:lastPrinted>
  <dcterms:created xsi:type="dcterms:W3CDTF">2023-03-28T06:21:12Z</dcterms:created>
  <dcterms:modified xsi:type="dcterms:W3CDTF">2026-01-06T10:38:00Z</dcterms:modified>
  <cp:category/>
  <cp:contentStatus/>
</cp:coreProperties>
</file>